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0.xml" ContentType="application/vnd.openxmlformats-officedocument.spreadsheetml.table+xml"/>
  <Override PartName="/xl/tables/table51.xml" ContentType="application/vnd.openxmlformats-officedocument.spreadsheetml.table+xml"/>
  <Override PartName="/xl/tables/table52.xml" ContentType="application/vnd.openxmlformats-officedocument.spreadsheetml.table+xml"/>
  <Override PartName="/xl/tables/table53.xml" ContentType="application/vnd.openxmlformats-officedocument.spreadsheetml.table+xml"/>
  <Override PartName="/xl/tables/table54.xml" ContentType="application/vnd.openxmlformats-officedocument.spreadsheetml.table+xml"/>
  <Override PartName="/xl/tables/table55.xml" ContentType="application/vnd.openxmlformats-officedocument.spreadsheetml.table+xml"/>
  <Override PartName="/xl/tables/table56.xml" ContentType="application/vnd.openxmlformats-officedocument.spreadsheetml.table+xml"/>
  <Override PartName="/xl/tables/table57.xml" ContentType="application/vnd.openxmlformats-officedocument.spreadsheetml.table+xml"/>
  <Override PartName="/xl/tables/table58.xml" ContentType="application/vnd.openxmlformats-officedocument.spreadsheetml.table+xml"/>
  <Override PartName="/xl/tables/table59.xml" ContentType="application/vnd.openxmlformats-officedocument.spreadsheetml.table+xml"/>
  <Override PartName="/xl/tables/table60.xml" ContentType="application/vnd.openxmlformats-officedocument.spreadsheetml.table+xml"/>
  <Override PartName="/xl/tables/table6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- INFRAESTRUTURA\BE-PMSa-MOD-ORC-BARREIRA ÚLTIMO\BE-PMSa-MOD-ORC-BARREIRA\Memórias de Cálculo\"/>
    </mc:Choice>
  </mc:AlternateContent>
  <xr:revisionPtr revIDLastSave="0" documentId="13_ncr:1_{18503CB7-07FE-4408-8DF8-55604ABCCF83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Orçamento" sheetId="1" r:id="rId1"/>
    <sheet name="13.8" sheetId="2" r:id="rId2"/>
    <sheet name="13.8.1" sheetId="3" r:id="rId3"/>
    <sheet name="13.8.2" sheetId="4" r:id="rId4"/>
    <sheet name="13.8.3" sheetId="5" r:id="rId5"/>
    <sheet name="13.8.4" sheetId="6" r:id="rId6"/>
    <sheet name="13.8.5" sheetId="7" r:id="rId7"/>
    <sheet name="13.8.6" sheetId="8" r:id="rId8"/>
    <sheet name="13.8.7" sheetId="9" r:id="rId9"/>
    <sheet name="13.8.8" sheetId="10" r:id="rId10"/>
    <sheet name="13.8.9" sheetId="11" r:id="rId11"/>
    <sheet name="13.8.10" sheetId="12" r:id="rId12"/>
    <sheet name="13.8.11" sheetId="13" r:id="rId13"/>
    <sheet name="13.8.12" sheetId="14" r:id="rId14"/>
    <sheet name="13.8.13" sheetId="15" r:id="rId15"/>
    <sheet name="13.8.14" sheetId="16" r:id="rId16"/>
    <sheet name="13.8.15" sheetId="17" r:id="rId17"/>
    <sheet name="13.8.16" sheetId="18" r:id="rId18"/>
    <sheet name="13.8.17" sheetId="19" r:id="rId19"/>
    <sheet name="13.8.18" sheetId="20" r:id="rId20"/>
    <sheet name="13.8.19" sheetId="21" r:id="rId21"/>
    <sheet name="13.8.20" sheetId="22" r:id="rId22"/>
    <sheet name="13.8.21" sheetId="23" r:id="rId23"/>
    <sheet name="13.8.22" sheetId="24" r:id="rId24"/>
    <sheet name="13.8.23" sheetId="25" r:id="rId25"/>
    <sheet name="13.8.24" sheetId="26" r:id="rId26"/>
    <sheet name="13.8.25" sheetId="27" r:id="rId27"/>
    <sheet name="13.8.26" sheetId="28" r:id="rId28"/>
    <sheet name="13.8.27" sheetId="29" r:id="rId29"/>
    <sheet name="13.8.1E" sheetId="30" r:id="rId30"/>
    <sheet name="13.8.2E" sheetId="31" r:id="rId31"/>
    <sheet name="13.8.3E" sheetId="32" r:id="rId32"/>
    <sheet name="13.8.4E" sheetId="33" r:id="rId33"/>
    <sheet name="13.8.5E" sheetId="34" r:id="rId34"/>
    <sheet name="13.8.6E" sheetId="35" r:id="rId35"/>
    <sheet name="13.8.7E" sheetId="36" r:id="rId36"/>
    <sheet name="13.8.8E" sheetId="37" r:id="rId37"/>
    <sheet name="13.8.9E" sheetId="38" r:id="rId38"/>
    <sheet name="13.8.10E" sheetId="39" r:id="rId39"/>
    <sheet name="13.8.11E" sheetId="40" r:id="rId40"/>
    <sheet name="13.8.12E" sheetId="41" r:id="rId41"/>
    <sheet name="13.8.13E" sheetId="42" r:id="rId42"/>
    <sheet name="13.8.14E" sheetId="43" r:id="rId43"/>
    <sheet name="13.8.15E" sheetId="44" r:id="rId44"/>
    <sheet name="13.8.16E" sheetId="45" r:id="rId45"/>
    <sheet name="13.8.17E" sheetId="46" r:id="rId46"/>
    <sheet name="13.8.18E" sheetId="47" r:id="rId47"/>
    <sheet name="13.8.19E" sheetId="48" r:id="rId48"/>
    <sheet name="13.8.20E" sheetId="49" r:id="rId49"/>
    <sheet name="13.8.21E" sheetId="50" r:id="rId50"/>
    <sheet name="13.8.22E" sheetId="51" r:id="rId51"/>
    <sheet name="13.8.23E" sheetId="52" r:id="rId52"/>
    <sheet name="13.8.24E" sheetId="53" r:id="rId53"/>
    <sheet name="13.8.25E" sheetId="54" r:id="rId54"/>
    <sheet name="13.8.26E" sheetId="55" r:id="rId55"/>
    <sheet name="13.8.27E" sheetId="56" r:id="rId56"/>
  </sheets>
  <calcPr calcId="191029"/>
</workbook>
</file>

<file path=xl/calcChain.xml><?xml version="1.0" encoding="utf-8"?>
<calcChain xmlns="http://schemas.openxmlformats.org/spreadsheetml/2006/main">
  <c r="E15" i="56" l="1"/>
  <c r="C15" i="56"/>
  <c r="E11" i="55"/>
  <c r="C11" i="55"/>
  <c r="E11" i="54"/>
  <c r="C11" i="54"/>
  <c r="E9" i="53"/>
  <c r="C9" i="53"/>
  <c r="E9" i="52"/>
  <c r="C9" i="52"/>
  <c r="E9" i="51"/>
  <c r="C9" i="51"/>
  <c r="E9" i="50"/>
  <c r="C9" i="50"/>
  <c r="E54" i="49"/>
  <c r="C54" i="49"/>
  <c r="E81" i="48"/>
  <c r="C81" i="48"/>
  <c r="E12" i="47"/>
  <c r="C12" i="47"/>
  <c r="E29" i="46"/>
  <c r="C29" i="46"/>
  <c r="E83" i="45"/>
  <c r="C83" i="45"/>
  <c r="E29" i="45"/>
  <c r="C29" i="45"/>
  <c r="E8" i="44"/>
  <c r="C8" i="44"/>
  <c r="E353" i="43"/>
  <c r="C353" i="43"/>
  <c r="E120" i="43"/>
  <c r="C120" i="43"/>
  <c r="E156" i="42"/>
  <c r="C156" i="42"/>
  <c r="E77" i="42"/>
  <c r="C77" i="42"/>
  <c r="E42" i="42"/>
  <c r="C42" i="42"/>
  <c r="E20" i="42"/>
  <c r="C20" i="42"/>
  <c r="E13" i="41"/>
  <c r="C13" i="41"/>
  <c r="E125" i="40"/>
  <c r="C125" i="40"/>
  <c r="E27" i="39"/>
  <c r="C27" i="39"/>
  <c r="E10" i="39"/>
  <c r="C10" i="39"/>
  <c r="E191" i="38"/>
  <c r="C191" i="38"/>
  <c r="E42" i="37"/>
  <c r="C42" i="37"/>
  <c r="E20" i="37"/>
  <c r="C20" i="37"/>
  <c r="E8" i="36"/>
  <c r="C8" i="36"/>
  <c r="E48" i="35"/>
  <c r="C48" i="35"/>
  <c r="E10" i="34"/>
  <c r="C10" i="34"/>
  <c r="E54" i="33"/>
  <c r="C54" i="33"/>
  <c r="E49" i="32"/>
  <c r="C49" i="32"/>
  <c r="E47" i="31"/>
  <c r="C47" i="31"/>
  <c r="E55" i="30"/>
  <c r="C55" i="30"/>
  <c r="E9" i="29"/>
  <c r="C9" i="29"/>
  <c r="E9" i="28"/>
  <c r="C9" i="28"/>
  <c r="E9" i="27"/>
  <c r="C9" i="27"/>
  <c r="E9" i="26"/>
  <c r="C9" i="26"/>
  <c r="E9" i="25"/>
  <c r="C9" i="25"/>
  <c r="E9" i="24"/>
  <c r="C9" i="24"/>
  <c r="E9" i="23"/>
  <c r="C9" i="23"/>
  <c r="E9" i="22"/>
  <c r="C9" i="22"/>
  <c r="E9" i="21"/>
  <c r="C9" i="21"/>
  <c r="E9" i="20"/>
  <c r="C9" i="20"/>
  <c r="E9" i="19"/>
  <c r="C9" i="19"/>
  <c r="E10" i="18"/>
  <c r="C10" i="18"/>
  <c r="E9" i="17"/>
  <c r="C9" i="17"/>
  <c r="E10" i="16"/>
  <c r="C10" i="16"/>
  <c r="E12" i="15"/>
  <c r="C12" i="15"/>
  <c r="E9" i="14"/>
  <c r="C9" i="14"/>
  <c r="E9" i="13"/>
  <c r="C9" i="13"/>
  <c r="E10" i="12"/>
  <c r="C10" i="12"/>
  <c r="E9" i="11"/>
  <c r="C9" i="11"/>
  <c r="E10" i="10"/>
  <c r="C10" i="10"/>
  <c r="E9" i="9"/>
  <c r="C9" i="9"/>
  <c r="E9" i="8"/>
  <c r="C9" i="8"/>
  <c r="E9" i="7"/>
  <c r="C9" i="7"/>
  <c r="E9" i="6"/>
  <c r="C9" i="6"/>
  <c r="E9" i="5"/>
  <c r="C9" i="5"/>
  <c r="E9" i="4"/>
  <c r="C9" i="4"/>
  <c r="E9" i="3"/>
  <c r="C9" i="3"/>
</calcChain>
</file>

<file path=xl/sharedStrings.xml><?xml version="1.0" encoding="utf-8"?>
<sst xmlns="http://schemas.openxmlformats.org/spreadsheetml/2006/main" count="8317" uniqueCount="1104">
  <si>
    <t>REV-BE-PMSa-MOD-ORC-BARREIRA-EX-000-R00-ONERADO</t>
  </si>
  <si>
    <t>Item</t>
  </si>
  <si>
    <t>Código</t>
  </si>
  <si>
    <t>Banco</t>
  </si>
  <si>
    <t>Descrição</t>
  </si>
  <si>
    <t>Unidade</t>
  </si>
  <si>
    <t>Quantidade</t>
  </si>
  <si>
    <t>Custo</t>
  </si>
  <si>
    <t>Custo c/ BDI</t>
  </si>
  <si>
    <t>Total</t>
  </si>
  <si>
    <t>13.8</t>
  </si>
  <si>
    <t>REDES ESPECIAIS</t>
  </si>
  <si>
    <t>13.8.1</t>
  </si>
  <si>
    <t>EMOP</t>
  </si>
  <si>
    <t>ELETROCALHA PERFURADA,COM TAMPA,TIPO ”U”,150X100MM,TRATAMENT O SUPERFICIAL PRE-ZINCADO A QUENTE,INCLUSIVE CONEXOES,ACESSO RIOS E FIXACAO SUPERIOR.FORNECIMENTO E COLOCACAO</t>
  </si>
  <si>
    <t>m</t>
  </si>
  <si>
    <t>68,63</t>
  </si>
  <si>
    <t>13.8.2</t>
  </si>
  <si>
    <t>15.018.0522-0</t>
  </si>
  <si>
    <t>ELETROCALHA PERFURADA,COM TAMPA,TIPO ”U”,200X75MM,TRATAMENTO SUPERFICIAL PRE-ZINCADO A QUENTE,EXCLUSIVE CONEXOES,ACESSOR IOS E FIXACAO SUPERIOR.FORNECIMENTO E COLOCACAO</t>
  </si>
  <si>
    <t>64,40</t>
  </si>
  <si>
    <t>13.8.3</t>
  </si>
  <si>
    <t>078028</t>
  </si>
  <si>
    <t>SBC</t>
  </si>
  <si>
    <t>PERFILADO PERFURADO 38x38x6000mm CHAPA 22</t>
  </si>
  <si>
    <t>86,67</t>
  </si>
  <si>
    <t>13.8.4</t>
  </si>
  <si>
    <t>15.036.0070-0</t>
  </si>
  <si>
    <t>ELETRODUTO DE PVC RIGIDO ROSQUEAVEL DE 3/4”,INCLUSIVE CONEXO ES E EMENDAS,EXCLUSIVE ABERTURA E FECHAMENTO DE RASGO.FORNEC IMENTO E ASSENTAMENTO</t>
  </si>
  <si>
    <t>142,07</t>
  </si>
  <si>
    <t>13.8.5</t>
  </si>
  <si>
    <t>00002504</t>
  </si>
  <si>
    <t>SINAPI</t>
  </si>
  <si>
    <t>ELETRODUTO FLEXIVEL, EM FITA DE ACO GALVANIZADO, REVESTIDO COM PVC PRETO, DIAMETRO EXTERNO DE 25 MM, DN = 3/4”, TIPO SEALTUBO</t>
  </si>
  <si>
    <t>4,17</t>
  </si>
  <si>
    <t>13.8.6</t>
  </si>
  <si>
    <t>00002501</t>
  </si>
  <si>
    <t>ELETRODUTO FLEXIVEL, EM FITA DE ACO GALVANIZADO, REVESTIDO COM PVC PRETO, DIAMETRO EXTERNO DE 32 MM, DN = 1”, TIPO SEALTUBO</t>
  </si>
  <si>
    <t>17,81</t>
  </si>
  <si>
    <t>13.8.7</t>
  </si>
  <si>
    <t>061408</t>
  </si>
  <si>
    <t>CAIXA DE PASSAGEM DE SOBREPOR METALICA 15x15x10</t>
  </si>
  <si>
    <t>un</t>
  </si>
  <si>
    <t>1,00</t>
  </si>
  <si>
    <t>13.8.8</t>
  </si>
  <si>
    <t>00038091</t>
  </si>
  <si>
    <t>ESPELHO / PLACA CEGA 4” X 2”, PARA INSTALACAO DE TOMADAS E INTERRUPTORES</t>
  </si>
  <si>
    <t>26,00</t>
  </si>
  <si>
    <t>13.8.9</t>
  </si>
  <si>
    <t>15.036.0071-0</t>
  </si>
  <si>
    <t>ELETRODUTO DE PVC RIGIDO ROSQUEAVEL DE 1”,INCLUSIVE CONEXOES E EMENDAS,EXCLUSIVE ABERTURA E FECHAMENTO DE RASGO.FORNECIM ENTO E ASSENTAMENTO</t>
  </si>
  <si>
    <t>364,49</t>
  </si>
  <si>
    <t>13.8.10</t>
  </si>
  <si>
    <t>15.015.0186-0</t>
  </si>
  <si>
    <t>INSTALACAO DE PONTO PARA ANTENA DE TV OU SISTEMA DE CFTV,COM PREENDENDO: 1 VARA DE ELETRODUTO DE 3/4”,CONEXOES E CAIXAS,E XCLUSIVE CABOS OU FIOS</t>
  </si>
  <si>
    <t>11,00</t>
  </si>
  <si>
    <t>13.8.11</t>
  </si>
  <si>
    <t>00039606</t>
  </si>
  <si>
    <t>PATCH CORD (CABO DE REDE), CATEGORIA 6 (CAT 6) UTP, 23 AWG, 4 PARES, EXTENSAO DE 1,50 M</t>
  </si>
  <si>
    <t>118,00</t>
  </si>
  <si>
    <t>13.8.12</t>
  </si>
  <si>
    <t>06.069.0101-0</t>
  </si>
  <si>
    <t>DUTO CORRUGADO HELICOIDAL,NA COR PRETA,LINHA DUPLA,DE POLIET ILENO DE ALTA DENSIDADE(PEAD),P/PROTECAO DE CONDUTORES ELETR .EM INSTAL.SUBTERRANEAS,DIAM.NOMINAL 1 1/4”,SENDO DIAM.INT. 31,5MM,FORNECIDO C/2 TAMPOES NAS EXTREMIDADES,FITA DE AVISO ”PERIGO”C/FIO GUIA DE ACO GALV.REVEST.PVC,CONFORME ABNT NBR 13897 E 13898,LANC.DIR.SOLO,INCL.CONEXOES E KIT VEDACAO</t>
  </si>
  <si>
    <t>17,54</t>
  </si>
  <si>
    <t>13.8.13</t>
  </si>
  <si>
    <t>15.018.0120-0</t>
  </si>
  <si>
    <t>CAIXA DE EMBUTIR,EM PVC,2”X4”,INCLUSIVE BUCHAS E ARRUELAS.FO RNECIMENTO E COLOCACAO</t>
  </si>
  <si>
    <t>122,00</t>
  </si>
  <si>
    <t>13.8.14</t>
  </si>
  <si>
    <t>00039599</t>
  </si>
  <si>
    <t>CABO DE REDE, PAR TRANCADO UTP, 4 PARES, CATEGORIA 6 (CAT 6), ISOLAMENTO PVC (LSZH)</t>
  </si>
  <si>
    <t>5447,98</t>
  </si>
  <si>
    <t>13.8.15</t>
  </si>
  <si>
    <t>95780</t>
  </si>
  <si>
    <t>CONDULETE DE ALUMÍNIO, TIPO B, PARA ELETRODUTO DE AÇO GALVANIZADO DN 25 MM (1''), APARENTE - FORNECIMENTO E INSTALAÇÃO. AF_10/2022</t>
  </si>
  <si>
    <t>13.8.16</t>
  </si>
  <si>
    <t>15.019.0095-0</t>
  </si>
  <si>
    <t>TOMADA TIPO RJ45,DE EMBUTIR,COMPLETA,PARA LOGICA.FORNECIMENT O E COLOCACAO</t>
  </si>
  <si>
    <t>67,00</t>
  </si>
  <si>
    <t>13.8.17</t>
  </si>
  <si>
    <t>00038093</t>
  </si>
  <si>
    <t>ESPELHO / PLACA DE 2 POSTOS 4” X 2”, PARA INSTALACAO DE TOMADAS E INTERRUPTORES</t>
  </si>
  <si>
    <t>22,00</t>
  </si>
  <si>
    <t>13.8.18</t>
  </si>
  <si>
    <t>COT . Acess</t>
  </si>
  <si>
    <t>Emp</t>
  </si>
  <si>
    <t>Acess Point Wifi, Frequência 2,4ghz. FORNECIMENTO.</t>
  </si>
  <si>
    <t>5,00</t>
  </si>
  <si>
    <t>13.8.19</t>
  </si>
  <si>
    <t>00038092</t>
  </si>
  <si>
    <t>ESPELHO / PLACA DE 1 POSTO 4” X 2”, PARA INSTALACAO DE TOMADAS E INTERRUPTORES</t>
  </si>
  <si>
    <t>74,00</t>
  </si>
  <si>
    <t>13.8.20</t>
  </si>
  <si>
    <t>COT.  CABO HDMI 2.1, 8K - 10 M 2025</t>
  </si>
  <si>
    <t>CABO HDMI 2.1, 8K - 10 M</t>
  </si>
  <si>
    <t>47,00</t>
  </si>
  <si>
    <t>13.8.21</t>
  </si>
  <si>
    <t>COT. FILTRO DE LINHA 2025</t>
  </si>
  <si>
    <t>FILTRO DE LINHA PARA RACK</t>
  </si>
  <si>
    <t>2,00</t>
  </si>
  <si>
    <t>13.8.22</t>
  </si>
  <si>
    <t>98305</t>
  </si>
  <si>
    <t>RACK FECHADO PARA SERVIDOR - FORNECIMENTO E INSTALAÇÃO. AF_11/2019</t>
  </si>
  <si>
    <t>13.8.23</t>
  </si>
  <si>
    <t>COT. KIT VENTILAÇÃO PARA RACK</t>
  </si>
  <si>
    <t>KIT VENTILAÇÃO PARA RACK</t>
  </si>
  <si>
    <t>13.8.24</t>
  </si>
  <si>
    <t>COT. STORAGE 2025</t>
  </si>
  <si>
    <t>STORAGE RAID 4 BAIAS COM CAPACIDADE PARA 20 TERABYTES</t>
  </si>
  <si>
    <t>13.8.25</t>
  </si>
  <si>
    <t>COT. Switch com 48 portas  2025</t>
  </si>
  <si>
    <t>Switch com 48 portas 2 giga Ethernet</t>
  </si>
  <si>
    <t>4,00</t>
  </si>
  <si>
    <t>13.8.26</t>
  </si>
  <si>
    <t>98304</t>
  </si>
  <si>
    <t>PATCH PANEL 48 PORTAS, CATEGORIA 6 - FORNECIMENTO E INSTALAÇÃO. AF_11/2019</t>
  </si>
  <si>
    <t>13.8.27</t>
  </si>
  <si>
    <t>036796</t>
  </si>
  <si>
    <t>HD INTERNO 6TB, SATA, 5400 RPM, CACHE 64MB, VIGILANCIA - REF. WD PURPLE 6TB SURVEILLANCE WD63PURZ</t>
  </si>
  <si>
    <t>8,00</t>
  </si>
  <si>
    <t>Resumo do Critério</t>
  </si>
  <si>
    <t>Tipo</t>
  </si>
  <si>
    <t>Elementos</t>
  </si>
  <si>
    <t>Nome do Subcritério</t>
  </si>
  <si>
    <t>Categoria</t>
  </si>
  <si>
    <t>Bandejas de cabos (Comprimento)</t>
  </si>
  <si>
    <t/>
  </si>
  <si>
    <t>Adicionar a</t>
  </si>
  <si>
    <t>Seleção</t>
  </si>
  <si>
    <t>Comprimento</t>
  </si>
  <si>
    <t>Filtro de Fase</t>
  </si>
  <si>
    <t>Criado em</t>
  </si>
  <si>
    <t>Demolido em</t>
  </si>
  <si>
    <t>------</t>
  </si>
  <si>
    <t>Ou</t>
  </si>
  <si>
    <t>Filtro de Família</t>
  </si>
  <si>
    <t>Família</t>
  </si>
  <si>
    <t>Bandeja de cabos com conexões</t>
  </si>
  <si>
    <t>08-ELETROCALHA PERFURADA</t>
  </si>
  <si>
    <t>Filtro de Parâmetro</t>
  </si>
  <si>
    <t>Comparação</t>
  </si>
  <si>
    <t>Valor</t>
  </si>
  <si>
    <t>Parâmetro</t>
  </si>
  <si>
    <t>Instância</t>
  </si>
  <si>
    <t>Igual a</t>
  </si>
  <si>
    <t>150x100mm</t>
  </si>
  <si>
    <t>Tamanho</t>
  </si>
  <si>
    <t>E</t>
  </si>
  <si>
    <t>64,4</t>
  </si>
  <si>
    <t>250x75mm</t>
  </si>
  <si>
    <t>Perfilado Perfurado</t>
  </si>
  <si>
    <t>Fórmula</t>
  </si>
  <si>
    <t>Conduites</t>
  </si>
  <si>
    <t>Comprimento*1,3</t>
  </si>
  <si>
    <t>Conduite com conexões</t>
  </si>
  <si>
    <t>Eletroduto Rígido PVC Roscável</t>
  </si>
  <si>
    <t>Ø25</t>
  </si>
  <si>
    <t>Conduites (Comprimento)</t>
  </si>
  <si>
    <t>Multiplicado por</t>
  </si>
  <si>
    <t>Conduite sem conexões</t>
  </si>
  <si>
    <t>Eletroduto Flexivel Sealtubo</t>
  </si>
  <si>
    <t>Ø32</t>
  </si>
  <si>
    <t>1</t>
  </si>
  <si>
    <t>Equipamento elétrico (A)</t>
  </si>
  <si>
    <t>A</t>
  </si>
  <si>
    <t>05-CAIXA DE PASSAGEM ELÉTRICA EM PVC DE EMBUTIR</t>
  </si>
  <si>
    <t>CPT 15</t>
  </si>
  <si>
    <t>26</t>
  </si>
  <si>
    <t>Conexões do conduite (240,0mm²_Fase B)</t>
  </si>
  <si>
    <t>240,0mm²_Fase B</t>
  </si>
  <si>
    <t>Caixa de Passagem na Parede em caixa 4x2</t>
  </si>
  <si>
    <t>a. Caixa de Passagem com placa cega</t>
  </si>
  <si>
    <t>Caixa Passagem - Teto</t>
  </si>
  <si>
    <t>11</t>
  </si>
  <si>
    <t>Dispositivos de segurança (Altura)</t>
  </si>
  <si>
    <t>Dispositivos de dados (A1)</t>
  </si>
  <si>
    <t>Altura</t>
  </si>
  <si>
    <t>Ponto Para CFTV - 1 Módulo</t>
  </si>
  <si>
    <t>A1</t>
  </si>
  <si>
    <t>Tomada CFTV - Teto</t>
  </si>
  <si>
    <t>Tomada Internet - Teto</t>
  </si>
  <si>
    <t>118</t>
  </si>
  <si>
    <t>Patchcord</t>
  </si>
  <si>
    <t>guia de cabos para rack</t>
  </si>
  <si>
    <t>comprimento*1,3</t>
  </si>
  <si>
    <t>Eletroduto Flexivel PEAD</t>
  </si>
  <si>
    <t>122</t>
  </si>
  <si>
    <t>Dispositivos elétricos (ACESS POINT, FREQUENCIA 2,4GHZ)</t>
  </si>
  <si>
    <t>ACESS POINT, FREQUENCIA 2,4GHZ</t>
  </si>
  <si>
    <t>Familia Caixa 4x2 Horizontal</t>
  </si>
  <si>
    <t>PVC Corrugado Amarelo_Caixa de Luz 4x2</t>
  </si>
  <si>
    <t>Linha Eletroduto Corrugado (Amarelo)</t>
  </si>
  <si>
    <t>Familia Caixa 4x2 Horizontal2</t>
  </si>
  <si>
    <t>Familia Caixa 4x2 Horizontal 2</t>
  </si>
  <si>
    <t>Caixa 4x2</t>
  </si>
  <si>
    <t>Bandejas de cabos</t>
  </si>
  <si>
    <t>UTP_CAT-6*1,25*Comprimento</t>
  </si>
  <si>
    <t>UTP_CAT-6*1,3*Comprimento</t>
  </si>
  <si>
    <t>Condulete Top_PVC com tampa Cega_Te1</t>
  </si>
  <si>
    <t>Condulete Top_PVC com tampa Cega_Te 2</t>
  </si>
  <si>
    <t>67</t>
  </si>
  <si>
    <t>Tomada RJ45 - 2 Módulos</t>
  </si>
  <si>
    <t>Tomada RJ45 - 1 Módulo</t>
  </si>
  <si>
    <t>22</t>
  </si>
  <si>
    <t>Dispositivos de dados</t>
  </si>
  <si>
    <t>5</t>
  </si>
  <si>
    <t>REPETIDOR WI FI</t>
  </si>
  <si>
    <t>ACESS POINT WIFI, FREQUÊNCIA 2,4GHZ</t>
  </si>
  <si>
    <t>74</t>
  </si>
  <si>
    <t>Dispositivos elétricos</t>
  </si>
  <si>
    <t>Placa 4x2 - 1 mód horizontal</t>
  </si>
  <si>
    <t>Placa 4x2 Horizontal - 1 Módulo1</t>
  </si>
  <si>
    <t>Placa 4x2 Horizontal - 1 Módulo 2</t>
  </si>
  <si>
    <t>47</t>
  </si>
  <si>
    <t>Conduites (240,0mm²_Fase B)</t>
  </si>
  <si>
    <t>Maior que</t>
  </si>
  <si>
    <t>0</t>
  </si>
  <si>
    <t>CABO HDMI</t>
  </si>
  <si>
    <t>2</t>
  </si>
  <si>
    <t>FILTRO DE LINHA</t>
  </si>
  <si>
    <t>Rack2</t>
  </si>
  <si>
    <t>02 - Torre Rack - Coluna Fechada 2</t>
  </si>
  <si>
    <t>kit ventilação para rack</t>
  </si>
  <si>
    <t>Bandeja de Rack</t>
  </si>
  <si>
    <t>Storage para Rack</t>
  </si>
  <si>
    <t>4</t>
  </si>
  <si>
    <t>Equipamento elétrico (Altura)</t>
  </si>
  <si>
    <t>Switch Cisco Catalyst 2960 com 48 portas 2 giga Ethernet</t>
  </si>
  <si>
    <t>Descrição do Material</t>
  </si>
  <si>
    <t>Patch Panel, 48 portas, 2U</t>
  </si>
  <si>
    <t>8</t>
  </si>
  <si>
    <t>HD Interno Para Rack 5Tb</t>
  </si>
  <si>
    <t>Projeto</t>
  </si>
  <si>
    <t>Vínculo</t>
  </si>
  <si>
    <t>Elemento</t>
  </si>
  <si>
    <t>Id do Revit</t>
  </si>
  <si>
    <t>Totais:</t>
  </si>
  <si>
    <t>BE-PMSa-MOD-ESP-BARREIRA-EX-000-R</t>
  </si>
  <si>
    <t>10423805</t>
  </si>
  <si>
    <t>10450104</t>
  </si>
  <si>
    <t>10188450</t>
  </si>
  <si>
    <t>10188494</t>
  </si>
  <si>
    <t>10189412</t>
  </si>
  <si>
    <t>10093547</t>
  </si>
  <si>
    <t>10425077</t>
  </si>
  <si>
    <t>10400367</t>
  </si>
  <si>
    <t>10406950</t>
  </si>
  <si>
    <t>9990489</t>
  </si>
  <si>
    <t>10420338</t>
  </si>
  <si>
    <t>10420465</t>
  </si>
  <si>
    <t>10421424</t>
  </si>
  <si>
    <t>10421433</t>
  </si>
  <si>
    <t>10421440</t>
  </si>
  <si>
    <t>10026036</t>
  </si>
  <si>
    <t>10028888</t>
  </si>
  <si>
    <t>9922440</t>
  </si>
  <si>
    <t>9923051</t>
  </si>
  <si>
    <t>9923553</t>
  </si>
  <si>
    <t>9920716</t>
  </si>
  <si>
    <t>9920779</t>
  </si>
  <si>
    <t>10159546</t>
  </si>
  <si>
    <t>10159553</t>
  </si>
  <si>
    <t>10159560</t>
  </si>
  <si>
    <t>10161292</t>
  </si>
  <si>
    <t>10161863</t>
  </si>
  <si>
    <t>10154597</t>
  </si>
  <si>
    <t>10174994</t>
  </si>
  <si>
    <t>10175348</t>
  </si>
  <si>
    <t>10175450</t>
  </si>
  <si>
    <t>10175543</t>
  </si>
  <si>
    <t>10175720</t>
  </si>
  <si>
    <t>10175897</t>
  </si>
  <si>
    <t>10176044</t>
  </si>
  <si>
    <t>10176167</t>
  </si>
  <si>
    <t>10176329</t>
  </si>
  <si>
    <t>10176392</t>
  </si>
  <si>
    <t>10176458</t>
  </si>
  <si>
    <t>10176551</t>
  </si>
  <si>
    <t>10176629</t>
  </si>
  <si>
    <t>10176698</t>
  </si>
  <si>
    <t>10176848</t>
  </si>
  <si>
    <t>10176914</t>
  </si>
  <si>
    <t>9901111</t>
  </si>
  <si>
    <t>9906030</t>
  </si>
  <si>
    <t>9908161</t>
  </si>
  <si>
    <t>9908168</t>
  </si>
  <si>
    <t>10112323</t>
  </si>
  <si>
    <t>9934436</t>
  </si>
  <si>
    <t>10451291</t>
  </si>
  <si>
    <t>10451295</t>
  </si>
  <si>
    <t>10451302</t>
  </si>
  <si>
    <t>10451732</t>
  </si>
  <si>
    <t>10452076</t>
  </si>
  <si>
    <t>10452477</t>
  </si>
  <si>
    <t>10092684</t>
  </si>
  <si>
    <t>10092835</t>
  </si>
  <si>
    <t>10093204</t>
  </si>
  <si>
    <t>10143691</t>
  </si>
  <si>
    <t>10145784</t>
  </si>
  <si>
    <t>10145904</t>
  </si>
  <si>
    <t>10146107</t>
  </si>
  <si>
    <t>10146329</t>
  </si>
  <si>
    <t>10146919</t>
  </si>
  <si>
    <t>10147366</t>
  </si>
  <si>
    <t>10147822</t>
  </si>
  <si>
    <t>10148356</t>
  </si>
  <si>
    <t>9960528</t>
  </si>
  <si>
    <t>9962495</t>
  </si>
  <si>
    <t>10091461</t>
  </si>
  <si>
    <t>10091785</t>
  </si>
  <si>
    <t>10362818</t>
  </si>
  <si>
    <t>10042065</t>
  </si>
  <si>
    <t>10042186</t>
  </si>
  <si>
    <t>10043482</t>
  </si>
  <si>
    <t>10043557</t>
  </si>
  <si>
    <t>10043641</t>
  </si>
  <si>
    <t>10043743</t>
  </si>
  <si>
    <t>10043842</t>
  </si>
  <si>
    <t>10043932</t>
  </si>
  <si>
    <t>10044073</t>
  </si>
  <si>
    <t>10044208</t>
  </si>
  <si>
    <t>10044286</t>
  </si>
  <si>
    <t>10096341</t>
  </si>
  <si>
    <t>10096348</t>
  </si>
  <si>
    <t>10097326</t>
  </si>
  <si>
    <t>10099591</t>
  </si>
  <si>
    <t>10114189</t>
  </si>
  <si>
    <t>10124060</t>
  </si>
  <si>
    <t>10450019</t>
  </si>
  <si>
    <t>10422158</t>
  </si>
  <si>
    <t>10189611</t>
  </si>
  <si>
    <t>9984934</t>
  </si>
  <si>
    <t>10412108</t>
  </si>
  <si>
    <t>9962569</t>
  </si>
  <si>
    <t>10186007</t>
  </si>
  <si>
    <t>10080162</t>
  </si>
  <si>
    <t>10411534</t>
  </si>
  <si>
    <t>10411649</t>
  </si>
  <si>
    <t>10392143</t>
  </si>
  <si>
    <t>10392821</t>
  </si>
  <si>
    <t>10396460</t>
  </si>
  <si>
    <t>10396908</t>
  </si>
  <si>
    <t>10397672</t>
  </si>
  <si>
    <t>9925864</t>
  </si>
  <si>
    <t>9917639</t>
  </si>
  <si>
    <t>10408335</t>
  </si>
  <si>
    <t>10410246</t>
  </si>
  <si>
    <t>10177476</t>
  </si>
  <si>
    <t>10177592</t>
  </si>
  <si>
    <t>10177665</t>
  </si>
  <si>
    <t>10414540</t>
  </si>
  <si>
    <t>10415091</t>
  </si>
  <si>
    <t>10415413</t>
  </si>
  <si>
    <t>10417715</t>
  </si>
  <si>
    <t>10418041</t>
  </si>
  <si>
    <t>10419356</t>
  </si>
  <si>
    <t>10061419</t>
  </si>
  <si>
    <t>10061578</t>
  </si>
  <si>
    <t>10097707</t>
  </si>
  <si>
    <t>10099865</t>
  </si>
  <si>
    <t>10099963</t>
  </si>
  <si>
    <t>10100241</t>
  </si>
  <si>
    <t>10100925</t>
  </si>
  <si>
    <t>10103502</t>
  </si>
  <si>
    <t>9904403</t>
  </si>
  <si>
    <t>9908309</t>
  </si>
  <si>
    <t>9908371</t>
  </si>
  <si>
    <t>9908374</t>
  </si>
  <si>
    <t>10244145</t>
  </si>
  <si>
    <t>9967026</t>
  </si>
  <si>
    <t>9989493</t>
  </si>
  <si>
    <t>9989530</t>
  </si>
  <si>
    <t>9970396</t>
  </si>
  <si>
    <t>10469667</t>
  </si>
  <si>
    <t>10469669</t>
  </si>
  <si>
    <t>9990334</t>
  </si>
  <si>
    <t>9990419</t>
  </si>
  <si>
    <t>9961631</t>
  </si>
  <si>
    <t>9961791</t>
  </si>
  <si>
    <t>10391413</t>
  </si>
  <si>
    <t>10391884</t>
  </si>
  <si>
    <t>10391945</t>
  </si>
  <si>
    <t>10391996</t>
  </si>
  <si>
    <t>10410967</t>
  </si>
  <si>
    <t>10410968</t>
  </si>
  <si>
    <t>10410969</t>
  </si>
  <si>
    <t>10410970</t>
  </si>
  <si>
    <t>10024775</t>
  </si>
  <si>
    <t>10395442</t>
  </si>
  <si>
    <t>10395456</t>
  </si>
  <si>
    <t>10395691</t>
  </si>
  <si>
    <t>10395762</t>
  </si>
  <si>
    <t>10395936</t>
  </si>
  <si>
    <t>9925123</t>
  </si>
  <si>
    <t>10446402</t>
  </si>
  <si>
    <t>10408193</t>
  </si>
  <si>
    <t>10408676</t>
  </si>
  <si>
    <t>10408816</t>
  </si>
  <si>
    <t>10410517</t>
  </si>
  <si>
    <t>9998806</t>
  </si>
  <si>
    <t>9998849</t>
  </si>
  <si>
    <t>10412417</t>
  </si>
  <si>
    <t>10412795</t>
  </si>
  <si>
    <t>10412840</t>
  </si>
  <si>
    <t>10413887</t>
  </si>
  <si>
    <t>10417140</t>
  </si>
  <si>
    <t>10417234</t>
  </si>
  <si>
    <t>10418678</t>
  </si>
  <si>
    <t>10418691</t>
  </si>
  <si>
    <t>10033679</t>
  </si>
  <si>
    <t>10034938</t>
  </si>
  <si>
    <t>9959904</t>
  </si>
  <si>
    <t>9880430</t>
  </si>
  <si>
    <t>9880472</t>
  </si>
  <si>
    <t>9883042</t>
  </si>
  <si>
    <t>10469193</t>
  </si>
  <si>
    <t>10469207</t>
  </si>
  <si>
    <t>10469299</t>
  </si>
  <si>
    <t>10123503</t>
  </si>
  <si>
    <t>10123519</t>
  </si>
  <si>
    <t>10238023</t>
  </si>
  <si>
    <t>10451449</t>
  </si>
  <si>
    <t>10451450</t>
  </si>
  <si>
    <t>10189327</t>
  </si>
  <si>
    <t>9980338</t>
  </si>
  <si>
    <t>10470137</t>
  </si>
  <si>
    <t>10470151</t>
  </si>
  <si>
    <t>10470191</t>
  </si>
  <si>
    <t>10169958</t>
  </si>
  <si>
    <t>10145526</t>
  </si>
  <si>
    <t>10145584</t>
  </si>
  <si>
    <t>10448840</t>
  </si>
  <si>
    <t>10139807</t>
  </si>
  <si>
    <t>10173325</t>
  </si>
  <si>
    <t>10173975</t>
  </si>
  <si>
    <t>10174064</t>
  </si>
  <si>
    <t>10157665</t>
  </si>
  <si>
    <t>10159712</t>
  </si>
  <si>
    <t>10160374</t>
  </si>
  <si>
    <t>10447258</t>
  </si>
  <si>
    <t>10447335</t>
  </si>
  <si>
    <t>10447344</t>
  </si>
  <si>
    <t>10447998</t>
  </si>
  <si>
    <t>10448091</t>
  </si>
  <si>
    <t>10448143</t>
  </si>
  <si>
    <t>10063725</t>
  </si>
  <si>
    <t>10063793</t>
  </si>
  <si>
    <t>10063794</t>
  </si>
  <si>
    <t>10171893</t>
  </si>
  <si>
    <t>10171905</t>
  </si>
  <si>
    <t>10416044</t>
  </si>
  <si>
    <t>10416715</t>
  </si>
  <si>
    <t>10416780</t>
  </si>
  <si>
    <t>9986628</t>
  </si>
  <si>
    <t>9986701</t>
  </si>
  <si>
    <t>10067262</t>
  </si>
  <si>
    <t>10204208</t>
  </si>
  <si>
    <t>10204223</t>
  </si>
  <si>
    <t>10053203</t>
  </si>
  <si>
    <t>PAINEL PARA FIBRA</t>
  </si>
  <si>
    <t>10164405</t>
  </si>
  <si>
    <t>10468834</t>
  </si>
  <si>
    <t>10410962</t>
  </si>
  <si>
    <t>9879017</t>
  </si>
  <si>
    <t>9879099</t>
  </si>
  <si>
    <t>9879898</t>
  </si>
  <si>
    <t>9883009</t>
  </si>
  <si>
    <t>9883028</t>
  </si>
  <si>
    <t>9883410</t>
  </si>
  <si>
    <t>9883509</t>
  </si>
  <si>
    <t>9883528</t>
  </si>
  <si>
    <t>9883787</t>
  </si>
  <si>
    <t>9884187</t>
  </si>
  <si>
    <t>9888098</t>
  </si>
  <si>
    <t>10466119</t>
  </si>
  <si>
    <t>10410965</t>
  </si>
  <si>
    <t>9878095</t>
  </si>
  <si>
    <t>9879020</t>
  </si>
  <si>
    <t>9879102</t>
  </si>
  <si>
    <t>9879901</t>
  </si>
  <si>
    <t>9883012</t>
  </si>
  <si>
    <t>9883031</t>
  </si>
  <si>
    <t>9883413</t>
  </si>
  <si>
    <t>9883512</t>
  </si>
  <si>
    <t>9883531</t>
  </si>
  <si>
    <t>9883790</t>
  </si>
  <si>
    <t>9884244</t>
  </si>
  <si>
    <t>10238037</t>
  </si>
  <si>
    <t>9933038</t>
  </si>
  <si>
    <t>9933658</t>
  </si>
  <si>
    <t>9934386</t>
  </si>
  <si>
    <t>9934388</t>
  </si>
  <si>
    <t>10451357</t>
  </si>
  <si>
    <t>10076588</t>
  </si>
  <si>
    <t>10189936</t>
  </si>
  <si>
    <t>10455449</t>
  </si>
  <si>
    <t>10400112</t>
  </si>
  <si>
    <t>10400309</t>
  </si>
  <si>
    <t>10401084</t>
  </si>
  <si>
    <t>10401097</t>
  </si>
  <si>
    <t>10406815</t>
  </si>
  <si>
    <t>10406836</t>
  </si>
  <si>
    <t>10406902</t>
  </si>
  <si>
    <t>10407361</t>
  </si>
  <si>
    <t>10407372</t>
  </si>
  <si>
    <t>10407527</t>
  </si>
  <si>
    <t>9967217</t>
  </si>
  <si>
    <t>9968564</t>
  </si>
  <si>
    <t>9970437</t>
  </si>
  <si>
    <t>9970651</t>
  </si>
  <si>
    <t>9976165</t>
  </si>
  <si>
    <t>9976249</t>
  </si>
  <si>
    <t>9976849</t>
  </si>
  <si>
    <t>9977100</t>
  </si>
  <si>
    <t>9977109</t>
  </si>
  <si>
    <t>9977299</t>
  </si>
  <si>
    <t>9977535</t>
  </si>
  <si>
    <t>9977544</t>
  </si>
  <si>
    <t>9980325</t>
  </si>
  <si>
    <t>9981326</t>
  </si>
  <si>
    <t>9981606</t>
  </si>
  <si>
    <t>9981904</t>
  </si>
  <si>
    <t>10469994</t>
  </si>
  <si>
    <t>10469996</t>
  </si>
  <si>
    <t>9983796</t>
  </si>
  <si>
    <t>9983807</t>
  </si>
  <si>
    <t>9991943</t>
  </si>
  <si>
    <t>9991966</t>
  </si>
  <si>
    <t>10144980</t>
  </si>
  <si>
    <t>10145142</t>
  </si>
  <si>
    <t>10145731</t>
  </si>
  <si>
    <t>9961832</t>
  </si>
  <si>
    <t>9961967</t>
  </si>
  <si>
    <t>10186125</t>
  </si>
  <si>
    <t>10191632</t>
  </si>
  <si>
    <t>10191688</t>
  </si>
  <si>
    <t>10191786</t>
  </si>
  <si>
    <t>10192096</t>
  </si>
  <si>
    <t>10448659</t>
  </si>
  <si>
    <t>10448833</t>
  </si>
  <si>
    <t>9881873</t>
  </si>
  <si>
    <t>10411556</t>
  </si>
  <si>
    <t>10392461</t>
  </si>
  <si>
    <t>10392467</t>
  </si>
  <si>
    <t>10392469</t>
  </si>
  <si>
    <t>10392471</t>
  </si>
  <si>
    <t>10392669</t>
  </si>
  <si>
    <t>10396358</t>
  </si>
  <si>
    <t>10396381</t>
  </si>
  <si>
    <t>10396515</t>
  </si>
  <si>
    <t>10396823</t>
  </si>
  <si>
    <t>10396836</t>
  </si>
  <si>
    <t>10396992</t>
  </si>
  <si>
    <t>10397556</t>
  </si>
  <si>
    <t>10397696</t>
  </si>
  <si>
    <t>10397757</t>
  </si>
  <si>
    <t>10397802</t>
  </si>
  <si>
    <t>10397818</t>
  </si>
  <si>
    <t>10397949</t>
  </si>
  <si>
    <t>9922445</t>
  </si>
  <si>
    <t>9923128</t>
  </si>
  <si>
    <t>9923130</t>
  </si>
  <si>
    <t>9923358</t>
  </si>
  <si>
    <t>9923360</t>
  </si>
  <si>
    <t>9923912</t>
  </si>
  <si>
    <t>9923925</t>
  </si>
  <si>
    <t>10016639</t>
  </si>
  <si>
    <t>9920764</t>
  </si>
  <si>
    <t>9920766</t>
  </si>
  <si>
    <t>9920782</t>
  </si>
  <si>
    <t>9920784</t>
  </si>
  <si>
    <t>9920880</t>
  </si>
  <si>
    <t>9920882</t>
  </si>
  <si>
    <t>9921171</t>
  </si>
  <si>
    <t>9921173</t>
  </si>
  <si>
    <t>10158289</t>
  </si>
  <si>
    <t>10158304</t>
  </si>
  <si>
    <t>10159883</t>
  </si>
  <si>
    <t>10087831</t>
  </si>
  <si>
    <t>10160744</t>
  </si>
  <si>
    <t>10446137</t>
  </si>
  <si>
    <t>10446273</t>
  </si>
  <si>
    <t>10446280</t>
  </si>
  <si>
    <t>10446581</t>
  </si>
  <si>
    <t>10446595</t>
  </si>
  <si>
    <t>10446769</t>
  </si>
  <si>
    <t>10447553</t>
  </si>
  <si>
    <t>10408441</t>
  </si>
  <si>
    <t>10408472</t>
  </si>
  <si>
    <t>10410067</t>
  </si>
  <si>
    <t>10410094</t>
  </si>
  <si>
    <t>10410211</t>
  </si>
  <si>
    <t>10410388</t>
  </si>
  <si>
    <t>10410393</t>
  </si>
  <si>
    <t>10410394</t>
  </si>
  <si>
    <t>10410511</t>
  </si>
  <si>
    <t>10410516</t>
  </si>
  <si>
    <t>10410518</t>
  </si>
  <si>
    <t>10362280</t>
  </si>
  <si>
    <t>10063410</t>
  </si>
  <si>
    <t>10414232</t>
  </si>
  <si>
    <t>10414245</t>
  </si>
  <si>
    <t>10414306</t>
  </si>
  <si>
    <t>10414441</t>
  </si>
  <si>
    <t>10414454</t>
  </si>
  <si>
    <t>10414507</t>
  </si>
  <si>
    <t>10414963</t>
  </si>
  <si>
    <t>10414976</t>
  </si>
  <si>
    <t>10415031</t>
  </si>
  <si>
    <t>10415309</t>
  </si>
  <si>
    <t>10415322</t>
  </si>
  <si>
    <t>10415380</t>
  </si>
  <si>
    <t>10415816</t>
  </si>
  <si>
    <t>10417607</t>
  </si>
  <si>
    <t>10417667</t>
  </si>
  <si>
    <t>10417982</t>
  </si>
  <si>
    <t>10417995</t>
  </si>
  <si>
    <t>10418282</t>
  </si>
  <si>
    <t>10418295</t>
  </si>
  <si>
    <t>10418372</t>
  </si>
  <si>
    <t>10419245</t>
  </si>
  <si>
    <t>10419258</t>
  </si>
  <si>
    <t>10419330</t>
  </si>
  <si>
    <t>9986331</t>
  </si>
  <si>
    <t>9970779</t>
  </si>
  <si>
    <t>10060189</t>
  </si>
  <si>
    <t>10065720</t>
  </si>
  <si>
    <t>10067254</t>
  </si>
  <si>
    <t>10097051</t>
  </si>
  <si>
    <t>10103256</t>
  </si>
  <si>
    <t>10103331</t>
  </si>
  <si>
    <t>10103541</t>
  </si>
  <si>
    <t>10357103</t>
  </si>
  <si>
    <t>9938078</t>
  </si>
  <si>
    <t>9939675</t>
  </si>
  <si>
    <t>10407831</t>
  </si>
  <si>
    <t>10407836</t>
  </si>
  <si>
    <t>10407837</t>
  </si>
  <si>
    <t>10407838</t>
  </si>
  <si>
    <t>10419911</t>
  </si>
  <si>
    <t>9879012</t>
  </si>
  <si>
    <t>9879094</t>
  </si>
  <si>
    <t>9879893</t>
  </si>
  <si>
    <t>9880396</t>
  </si>
  <si>
    <t>9880401</t>
  </si>
  <si>
    <t>9880412</t>
  </si>
  <si>
    <t>9880676</t>
  </si>
  <si>
    <t>9880696</t>
  </si>
  <si>
    <t>9883023</t>
  </si>
  <si>
    <t>9883504</t>
  </si>
  <si>
    <t>9883523</t>
  </si>
  <si>
    <t>9883782</t>
  </si>
  <si>
    <t>9884182</t>
  </si>
  <si>
    <t>9902806</t>
  </si>
  <si>
    <t>9902808</t>
  </si>
  <si>
    <t>9904594</t>
  </si>
  <si>
    <t>9905965</t>
  </si>
  <si>
    <t>9906328</t>
  </si>
  <si>
    <t>9906330</t>
  </si>
  <si>
    <t>9906659</t>
  </si>
  <si>
    <t>9906672</t>
  </si>
  <si>
    <t>9908777</t>
  </si>
  <si>
    <t>9908790</t>
  </si>
  <si>
    <t>9908893</t>
  </si>
  <si>
    <t>9908988</t>
  </si>
  <si>
    <t>9911138</t>
  </si>
  <si>
    <t>9911140</t>
  </si>
  <si>
    <t>9911142</t>
  </si>
  <si>
    <t>9911472</t>
  </si>
  <si>
    <t>9911546</t>
  </si>
  <si>
    <t>9911548</t>
  </si>
  <si>
    <t>9979631</t>
  </si>
  <si>
    <t>9980759</t>
  </si>
  <si>
    <t>9983239</t>
  </si>
  <si>
    <t>9977148</t>
  </si>
  <si>
    <t>9888605</t>
  </si>
  <si>
    <t>9888721</t>
  </si>
  <si>
    <t>9899204</t>
  </si>
  <si>
    <t>9899403</t>
  </si>
  <si>
    <t>9899440</t>
  </si>
  <si>
    <t>9899518</t>
  </si>
  <si>
    <t>9899564</t>
  </si>
  <si>
    <t>10399703</t>
  </si>
  <si>
    <t>10400515</t>
  </si>
  <si>
    <t>10400516</t>
  </si>
  <si>
    <t>10401331</t>
  </si>
  <si>
    <t>10401332</t>
  </si>
  <si>
    <t>10407070</t>
  </si>
  <si>
    <t>10407071</t>
  </si>
  <si>
    <t>10466125</t>
  </si>
  <si>
    <t>10392473</t>
  </si>
  <si>
    <t>10392474</t>
  </si>
  <si>
    <t>10392475</t>
  </si>
  <si>
    <t>10396091</t>
  </si>
  <si>
    <t>10396640</t>
  </si>
  <si>
    <t>10397076</t>
  </si>
  <si>
    <t>10397921</t>
  </si>
  <si>
    <t>10409765</t>
  </si>
  <si>
    <t>10410402</t>
  </si>
  <si>
    <t>10410403</t>
  </si>
  <si>
    <t>10410404</t>
  </si>
  <si>
    <t>10410519</t>
  </si>
  <si>
    <t>10410520</t>
  </si>
  <si>
    <t>10410521</t>
  </si>
  <si>
    <t>10414197</t>
  </si>
  <si>
    <t>10414402</t>
  </si>
  <si>
    <t>10414643</t>
  </si>
  <si>
    <t>10415171</t>
  </si>
  <si>
    <t>10417290</t>
  </si>
  <si>
    <t>10417333</t>
  </si>
  <si>
    <t>10419001</t>
  </si>
  <si>
    <t>10286108</t>
  </si>
  <si>
    <t>10286109</t>
  </si>
  <si>
    <t>10286115</t>
  </si>
  <si>
    <t>10286116</t>
  </si>
  <si>
    <t>10286122</t>
  </si>
  <si>
    <t>10286123</t>
  </si>
  <si>
    <t>10286129</t>
  </si>
  <si>
    <t>10286130</t>
  </si>
  <si>
    <t>10286131</t>
  </si>
  <si>
    <t>10286132</t>
  </si>
  <si>
    <t>10286133</t>
  </si>
  <si>
    <t>10286134</t>
  </si>
  <si>
    <t>10286140</t>
  </si>
  <si>
    <t>10286141</t>
  </si>
  <si>
    <t>10286142</t>
  </si>
  <si>
    <t>10286143</t>
  </si>
  <si>
    <t>10286149</t>
  </si>
  <si>
    <t>10286155</t>
  </si>
  <si>
    <t>10291403</t>
  </si>
  <si>
    <t>10291404</t>
  </si>
  <si>
    <t>10291408</t>
  </si>
  <si>
    <t>10291412</t>
  </si>
  <si>
    <t>10291413</t>
  </si>
  <si>
    <t>10291417</t>
  </si>
  <si>
    <t>10291421</t>
  </si>
  <si>
    <t>10291422</t>
  </si>
  <si>
    <t>10291426</t>
  </si>
  <si>
    <t>10291430</t>
  </si>
  <si>
    <t>10291431</t>
  </si>
  <si>
    <t>10291432</t>
  </si>
  <si>
    <t>10291433</t>
  </si>
  <si>
    <t>10291458</t>
  </si>
  <si>
    <t>10291459</t>
  </si>
  <si>
    <t>10291463</t>
  </si>
  <si>
    <t>10291485</t>
  </si>
  <si>
    <t>10291486</t>
  </si>
  <si>
    <t>10291490</t>
  </si>
  <si>
    <t>10291494</t>
  </si>
  <si>
    <t>10291495</t>
  </si>
  <si>
    <t>10291499</t>
  </si>
  <si>
    <t>10291503</t>
  </si>
  <si>
    <t>10291504</t>
  </si>
  <si>
    <t>10291508</t>
  </si>
  <si>
    <t>10291512</t>
  </si>
  <si>
    <t>10291513</t>
  </si>
  <si>
    <t>10291517</t>
  </si>
  <si>
    <t>10291521</t>
  </si>
  <si>
    <t>10291525</t>
  </si>
  <si>
    <t>10291526</t>
  </si>
  <si>
    <t>10291533</t>
  </si>
  <si>
    <t>10307633</t>
  </si>
  <si>
    <t>10307634</t>
  </si>
  <si>
    <t>10307635</t>
  </si>
  <si>
    <t>10307659</t>
  </si>
  <si>
    <t>10307660</t>
  </si>
  <si>
    <t>10307661</t>
  </si>
  <si>
    <t>10307662</t>
  </si>
  <si>
    <t>10307664</t>
  </si>
  <si>
    <t>10313986</t>
  </si>
  <si>
    <t>10313987</t>
  </si>
  <si>
    <t>10313989</t>
  </si>
  <si>
    <t>10313990</t>
  </si>
  <si>
    <t>10313991</t>
  </si>
  <si>
    <t>10319591</t>
  </si>
  <si>
    <t>10319592</t>
  </si>
  <si>
    <t>10319595</t>
  </si>
  <si>
    <t>10324951</t>
  </si>
  <si>
    <t>10324952</t>
  </si>
  <si>
    <t>10324958</t>
  </si>
  <si>
    <t>10324959</t>
  </si>
  <si>
    <t>10324965</t>
  </si>
  <si>
    <t>10324966</t>
  </si>
  <si>
    <t>10324972</t>
  </si>
  <si>
    <t>10324973</t>
  </si>
  <si>
    <t>10324974</t>
  </si>
  <si>
    <t>10324975</t>
  </si>
  <si>
    <t>10324976</t>
  </si>
  <si>
    <t>10324977</t>
  </si>
  <si>
    <t>10324983</t>
  </si>
  <si>
    <t>10324984</t>
  </si>
  <si>
    <t>10324985</t>
  </si>
  <si>
    <t>10324986</t>
  </si>
  <si>
    <t>10324992</t>
  </si>
  <si>
    <t>10324998</t>
  </si>
  <si>
    <t>10407839</t>
  </si>
  <si>
    <t>10407840</t>
  </si>
  <si>
    <t>10407841</t>
  </si>
  <si>
    <t>10419496</t>
  </si>
  <si>
    <t>10419497</t>
  </si>
  <si>
    <t>10424664</t>
  </si>
  <si>
    <t>10424716</t>
  </si>
  <si>
    <t>10424737</t>
  </si>
  <si>
    <t>10424824</t>
  </si>
  <si>
    <t>10167489</t>
  </si>
  <si>
    <t>10167503</t>
  </si>
  <si>
    <t>10466120</t>
  </si>
  <si>
    <t>10410966</t>
  </si>
  <si>
    <t>9878096</t>
  </si>
  <si>
    <t>9879021</t>
  </si>
  <si>
    <t>9879103</t>
  </si>
  <si>
    <t>9879902</t>
  </si>
  <si>
    <t>9883013</t>
  </si>
  <si>
    <t>9883032</t>
  </si>
  <si>
    <t>9883414</t>
  </si>
  <si>
    <t>9883513</t>
  </si>
  <si>
    <t>9883532</t>
  </si>
  <si>
    <t>9883791</t>
  </si>
  <si>
    <t>9884245</t>
  </si>
  <si>
    <t>10468835</t>
  </si>
  <si>
    <t>10410963</t>
  </si>
  <si>
    <t>9879018</t>
  </si>
  <si>
    <t>9879100</t>
  </si>
  <si>
    <t>9879899</t>
  </si>
  <si>
    <t>9883010</t>
  </si>
  <si>
    <t>9883029</t>
  </si>
  <si>
    <t>9883411</t>
  </si>
  <si>
    <t>9883510</t>
  </si>
  <si>
    <t>9883529</t>
  </si>
  <si>
    <t>9883788</t>
  </si>
  <si>
    <t>9884188</t>
  </si>
  <si>
    <t>9888099</t>
  </si>
  <si>
    <t>9975154</t>
  </si>
  <si>
    <t>9977149</t>
  </si>
  <si>
    <t>9977510</t>
  </si>
  <si>
    <t>10466122</t>
  </si>
  <si>
    <t>10396088</t>
  </si>
  <si>
    <t>10396637</t>
  </si>
  <si>
    <t>10397073</t>
  </si>
  <si>
    <t>10397918</t>
  </si>
  <si>
    <t>10409762</t>
  </si>
  <si>
    <t>10414194</t>
  </si>
  <si>
    <t>10414399</t>
  </si>
  <si>
    <t>10414640</t>
  </si>
  <si>
    <t>10415168</t>
  </si>
  <si>
    <t>10417287</t>
  </si>
  <si>
    <t>10417330</t>
  </si>
  <si>
    <t>10418998</t>
  </si>
  <si>
    <t>9973727</t>
  </si>
  <si>
    <t>9973889</t>
  </si>
  <si>
    <t>9974277</t>
  </si>
  <si>
    <t>9888606</t>
  </si>
  <si>
    <t>9888722</t>
  </si>
  <si>
    <t>9899205</t>
  </si>
  <si>
    <t>9899404</t>
  </si>
  <si>
    <t>9899441</t>
  </si>
  <si>
    <t>9899519</t>
  </si>
  <si>
    <t>9899565</t>
  </si>
  <si>
    <t>9932898</t>
  </si>
  <si>
    <t>9933009</t>
  </si>
  <si>
    <t>9933449</t>
  </si>
  <si>
    <t>9934059</t>
  </si>
  <si>
    <t>9934090</t>
  </si>
  <si>
    <t>9934121</t>
  </si>
  <si>
    <t>9934152</t>
  </si>
  <si>
    <t>10075906</t>
  </si>
  <si>
    <t>10076297</t>
  </si>
  <si>
    <t>10399700</t>
  </si>
  <si>
    <t>10400511</t>
  </si>
  <si>
    <t>10401327</t>
  </si>
  <si>
    <t>10407066</t>
  </si>
  <si>
    <t>9979632</t>
  </si>
  <si>
    <t>9980760</t>
  </si>
  <si>
    <t>9983240</t>
  </si>
  <si>
    <t>10392454</t>
  </si>
  <si>
    <t>10392458</t>
  </si>
  <si>
    <t>10392463</t>
  </si>
  <si>
    <t>9923410</t>
  </si>
  <si>
    <t>10410381</t>
  </si>
  <si>
    <t>10410385</t>
  </si>
  <si>
    <t>10410390</t>
  </si>
  <si>
    <t>10410504</t>
  </si>
  <si>
    <t>10410508</t>
  </si>
  <si>
    <t>10410513</t>
  </si>
  <si>
    <t>10102929</t>
  </si>
  <si>
    <t>10407824</t>
  </si>
  <si>
    <t>10407828</t>
  </si>
  <si>
    <t>10407833</t>
  </si>
  <si>
    <t>10419492</t>
  </si>
  <si>
    <t>9879004</t>
  </si>
  <si>
    <t>9879008</t>
  </si>
  <si>
    <t>9879014</t>
  </si>
  <si>
    <t>9879086</t>
  </si>
  <si>
    <t>9879090</t>
  </si>
  <si>
    <t>9879096</t>
  </si>
  <si>
    <t>9879885</t>
  </si>
  <si>
    <t>9879889</t>
  </si>
  <si>
    <t>9879895</t>
  </si>
  <si>
    <t>9880504</t>
  </si>
  <si>
    <t>9880531</t>
  </si>
  <si>
    <t>9880687</t>
  </si>
  <si>
    <t>9880692</t>
  </si>
  <si>
    <t>9881202</t>
  </si>
  <si>
    <t>9881307</t>
  </si>
  <si>
    <t>9881338</t>
  </si>
  <si>
    <t>9881369</t>
  </si>
  <si>
    <t>9881632</t>
  </si>
  <si>
    <t>9881659</t>
  </si>
  <si>
    <t>9881898</t>
  </si>
  <si>
    <t>9881925</t>
  </si>
  <si>
    <t>9882679</t>
  </si>
  <si>
    <t>9882693</t>
  </si>
  <si>
    <t>9882709</t>
  </si>
  <si>
    <t>9882714</t>
  </si>
  <si>
    <t>9883016</t>
  </si>
  <si>
    <t>9883020</t>
  </si>
  <si>
    <t>9883025</t>
  </si>
  <si>
    <t>9883497</t>
  </si>
  <si>
    <t>9883501</t>
  </si>
  <si>
    <t>9883506</t>
  </si>
  <si>
    <t>9883516</t>
  </si>
  <si>
    <t>9883520</t>
  </si>
  <si>
    <t>9883525</t>
  </si>
  <si>
    <t>9883775</t>
  </si>
  <si>
    <t>9883779</t>
  </si>
  <si>
    <t>9883784</t>
  </si>
  <si>
    <t>9884175</t>
  </si>
  <si>
    <t>9884179</t>
  </si>
  <si>
    <t>10459507</t>
  </si>
  <si>
    <t>9934058</t>
  </si>
  <si>
    <t>9934089</t>
  </si>
  <si>
    <t>9934120</t>
  </si>
  <si>
    <t>9934151</t>
  </si>
  <si>
    <t>10075905</t>
  </si>
  <si>
    <t>10400510</t>
  </si>
  <si>
    <t>10401326</t>
  </si>
  <si>
    <t>10407065</t>
  </si>
  <si>
    <t>9923409</t>
  </si>
  <si>
    <t>10419491</t>
  </si>
  <si>
    <t>9880503</t>
  </si>
  <si>
    <t>9880530</t>
  </si>
  <si>
    <t>9880686</t>
  </si>
  <si>
    <t>9880691</t>
  </si>
  <si>
    <t>9881631</t>
  </si>
  <si>
    <t>9881658</t>
  </si>
  <si>
    <t>9881897</t>
  </si>
  <si>
    <t>9881924</t>
  </si>
  <si>
    <t>9882678</t>
  </si>
  <si>
    <t>9882692</t>
  </si>
  <si>
    <t>9882708</t>
  </si>
  <si>
    <t>9882713</t>
  </si>
  <si>
    <t>9932897</t>
  </si>
  <si>
    <t>9933008</t>
  </si>
  <si>
    <t>9933448</t>
  </si>
  <si>
    <t>10076296</t>
  </si>
  <si>
    <t>10399699</t>
  </si>
  <si>
    <t>10392453</t>
  </si>
  <si>
    <t>10392457</t>
  </si>
  <si>
    <t>10392462</t>
  </si>
  <si>
    <t>10410380</t>
  </si>
  <si>
    <t>10410384</t>
  </si>
  <si>
    <t>10410389</t>
  </si>
  <si>
    <t>10410503</t>
  </si>
  <si>
    <t>10410507</t>
  </si>
  <si>
    <t>10410512</t>
  </si>
  <si>
    <t>10102928</t>
  </si>
  <si>
    <t>10407823</t>
  </si>
  <si>
    <t>10407827</t>
  </si>
  <si>
    <t>10407832</t>
  </si>
  <si>
    <t>9879003</t>
  </si>
  <si>
    <t>9879007</t>
  </si>
  <si>
    <t>9879013</t>
  </si>
  <si>
    <t>9879085</t>
  </si>
  <si>
    <t>9879089</t>
  </si>
  <si>
    <t>9879095</t>
  </si>
  <si>
    <t>9879884</t>
  </si>
  <si>
    <t>9879888</t>
  </si>
  <si>
    <t>9879894</t>
  </si>
  <si>
    <t>9881201</t>
  </si>
  <si>
    <t>9881306</t>
  </si>
  <si>
    <t>9881337</t>
  </si>
  <si>
    <t>9881368</t>
  </si>
  <si>
    <t>9883015</t>
  </si>
  <si>
    <t>9883019</t>
  </si>
  <si>
    <t>9883024</t>
  </si>
  <si>
    <t>9883496</t>
  </si>
  <si>
    <t>9883500</t>
  </si>
  <si>
    <t>9883505</t>
  </si>
  <si>
    <t>9883515</t>
  </si>
  <si>
    <t>9883519</t>
  </si>
  <si>
    <t>9883524</t>
  </si>
  <si>
    <t>9883774</t>
  </si>
  <si>
    <t>9883778</t>
  </si>
  <si>
    <t>9883783</t>
  </si>
  <si>
    <t>9884174</t>
  </si>
  <si>
    <t>9884178</t>
  </si>
  <si>
    <t>9975100</t>
  </si>
  <si>
    <t>9977316</t>
  </si>
  <si>
    <t>9922249</t>
  </si>
  <si>
    <t>9923371</t>
  </si>
  <si>
    <t>9923379</t>
  </si>
  <si>
    <t>9932899</t>
  </si>
  <si>
    <t>9933010</t>
  </si>
  <si>
    <t>9933450</t>
  </si>
  <si>
    <t>10399701</t>
  </si>
  <si>
    <t>9979633</t>
  </si>
  <si>
    <t>9980761</t>
  </si>
  <si>
    <t>9983241</t>
  </si>
  <si>
    <t>10392455</t>
  </si>
  <si>
    <t>10392459</t>
  </si>
  <si>
    <t>10392464</t>
  </si>
  <si>
    <t>10087664</t>
  </si>
  <si>
    <t>10410382</t>
  </si>
  <si>
    <t>10410386</t>
  </si>
  <si>
    <t>10410391</t>
  </si>
  <si>
    <t>10410505</t>
  </si>
  <si>
    <t>10410509</t>
  </si>
  <si>
    <t>10410514</t>
  </si>
  <si>
    <t>10102930</t>
  </si>
  <si>
    <t>10407825</t>
  </si>
  <si>
    <t>10407829</t>
  </si>
  <si>
    <t>10407834</t>
  </si>
  <si>
    <t>9879005</t>
  </si>
  <si>
    <t>9879009</t>
  </si>
  <si>
    <t>9879015</t>
  </si>
  <si>
    <t>9879087</t>
  </si>
  <si>
    <t>9879091</t>
  </si>
  <si>
    <t>9879097</t>
  </si>
  <si>
    <t>9879886</t>
  </si>
  <si>
    <t>9879890</t>
  </si>
  <si>
    <t>9879896</t>
  </si>
  <si>
    <t>9881203</t>
  </si>
  <si>
    <t>9881308</t>
  </si>
  <si>
    <t>9881339</t>
  </si>
  <si>
    <t>9881370</t>
  </si>
  <si>
    <t>9883017</t>
  </si>
  <si>
    <t>9883021</t>
  </si>
  <si>
    <t>9883026</t>
  </si>
  <si>
    <t>9883498</t>
  </si>
  <si>
    <t>9883502</t>
  </si>
  <si>
    <t>9883507</t>
  </si>
  <si>
    <t>9883517</t>
  </si>
  <si>
    <t>9883521</t>
  </si>
  <si>
    <t>9883526</t>
  </si>
  <si>
    <t>9883776</t>
  </si>
  <si>
    <t>9883780</t>
  </si>
  <si>
    <t>9883785</t>
  </si>
  <si>
    <t>9884176</t>
  </si>
  <si>
    <t>9884180</t>
  </si>
  <si>
    <t>9975155</t>
  </si>
  <si>
    <t>9977150</t>
  </si>
  <si>
    <t>9977511</t>
  </si>
  <si>
    <t>10466123</t>
  </si>
  <si>
    <t>10396089</t>
  </si>
  <si>
    <t>10396638</t>
  </si>
  <si>
    <t>10397074</t>
  </si>
  <si>
    <t>10397919</t>
  </si>
  <si>
    <t>10409763</t>
  </si>
  <si>
    <t>10414195</t>
  </si>
  <si>
    <t>10414400</t>
  </si>
  <si>
    <t>10414641</t>
  </si>
  <si>
    <t>10415169</t>
  </si>
  <si>
    <t>10417288</t>
  </si>
  <si>
    <t>10417331</t>
  </si>
  <si>
    <t>10418999</t>
  </si>
  <si>
    <t>9973728</t>
  </si>
  <si>
    <t>9973890</t>
  </si>
  <si>
    <t>9974278</t>
  </si>
  <si>
    <t>9888607</t>
  </si>
  <si>
    <t>9888723</t>
  </si>
  <si>
    <t>9899206</t>
  </si>
  <si>
    <t>9899405</t>
  </si>
  <si>
    <t>9899442</t>
  </si>
  <si>
    <t>9899520</t>
  </si>
  <si>
    <t>9899566</t>
  </si>
  <si>
    <t>10422394</t>
  </si>
  <si>
    <t>9887935</t>
  </si>
  <si>
    <t>RACK PAVIMENTO 1</t>
  </si>
  <si>
    <t>9887927</t>
  </si>
  <si>
    <t>RACK TÉRREO</t>
  </si>
  <si>
    <t>10422386</t>
  </si>
  <si>
    <t>10422391</t>
  </si>
  <si>
    <t>9887932</t>
  </si>
  <si>
    <t>10422397</t>
  </si>
  <si>
    <t>9887938</t>
  </si>
  <si>
    <t>10422388</t>
  </si>
  <si>
    <t>10422402</t>
  </si>
  <si>
    <t>9887929</t>
  </si>
  <si>
    <t>9887943</t>
  </si>
  <si>
    <t>10422390</t>
  </si>
  <si>
    <t>10422403</t>
  </si>
  <si>
    <t>9887931</t>
  </si>
  <si>
    <t>9887944</t>
  </si>
  <si>
    <t>10422396</t>
  </si>
  <si>
    <t>10422398</t>
  </si>
  <si>
    <t>10422399</t>
  </si>
  <si>
    <t>10422400</t>
  </si>
  <si>
    <t>9887937</t>
  </si>
  <si>
    <t>9887939</t>
  </si>
  <si>
    <t>9887940</t>
  </si>
  <si>
    <t>9887941</t>
  </si>
  <si>
    <t xml:space="preserve"> 15.018.0510-0 </t>
  </si>
  <si>
    <t>ELETROCALHA PERFURADA,COM TAMPA,TIPO "U",150X100MM,TRATAMENT O SUPERFICIAL PRE-ZINCADO A QUENTE,INCLUSIVE CONEXOES,ACESSO RIOS E FIXACAO SUPERIOR.FORNECIMENTO E COLOCACAO 3%-DESGASTE DE FERRAMENTAS E EPI 20%-CONEXOES</t>
  </si>
  <si>
    <t xml:space="preserve">15.018.0510-0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</si>
</sst>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name val="Calibri"/>
    </font>
    <font>
      <sz val="9"/>
      <name val="Calibri"/>
    </font>
    <font>
      <b/>
      <sz val="11"/>
      <name val="Calibri"/>
    </font>
    <font>
      <b/>
      <sz val="8"/>
      <name val="Calibri"/>
    </font>
    <font>
      <b/>
      <sz val="14"/>
      <name val="Calibri"/>
    </font>
    <font>
      <sz val="11"/>
      <name val="Calibri"/>
    </font>
  </fonts>
  <fills count="9">
    <fill>
      <patternFill patternType="none"/>
    </fill>
    <fill>
      <patternFill patternType="gray125"/>
    </fill>
    <fill>
      <patternFill patternType="solid">
        <fgColor rgb="FFD6D6D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CF8E3"/>
      </patternFill>
    </fill>
    <fill>
      <patternFill patternType="solid">
        <fgColor rgb="FFA9C1EC"/>
      </patternFill>
    </fill>
    <fill>
      <patternFill patternType="solid">
        <fgColor rgb="FFD9E1F2"/>
      </patternFill>
    </fill>
    <fill>
      <patternFill patternType="solid">
        <fgColor rgb="FFEDEDED"/>
      </patternFill>
    </fill>
  </fills>
  <borders count="2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8">
    <xf numFmtId="0" fontId="0" fillId="0" borderId="0"/>
    <xf numFmtId="0" fontId="1" fillId="0" borderId="0">
      <alignment wrapText="1"/>
    </xf>
    <xf numFmtId="0" fontId="1" fillId="0" borderId="0">
      <alignment horizontal="left" vertical="center"/>
    </xf>
    <xf numFmtId="0" fontId="5" fillId="0" borderId="0">
      <alignment wrapText="1"/>
    </xf>
    <xf numFmtId="0" fontId="3" fillId="0" borderId="0">
      <alignment wrapText="1"/>
    </xf>
    <xf numFmtId="0" fontId="4" fillId="0" borderId="0">
      <alignment horizontal="center" vertical="center"/>
    </xf>
    <xf numFmtId="0" fontId="3" fillId="0" borderId="0">
      <alignment horizontal="center" wrapText="1"/>
    </xf>
    <xf numFmtId="0" fontId="2" fillId="0" borderId="0">
      <alignment horizontal="center" wrapText="1"/>
    </xf>
  </cellStyleXfs>
  <cellXfs count="25">
    <xf numFmtId="0" fontId="0" fillId="0" borderId="0" xfId="0"/>
    <xf numFmtId="0" fontId="1" fillId="0" borderId="0" xfId="1">
      <alignment wrapText="1"/>
    </xf>
    <xf numFmtId="0" fontId="2" fillId="0" borderId="0" xfId="7">
      <alignment horizontal="center" wrapText="1"/>
    </xf>
    <xf numFmtId="0" fontId="2" fillId="2" borderId="1" xfId="7" applyFill="1" applyBorder="1" applyAlignment="1">
      <alignment horizontal="center" vertical="center" wrapText="1"/>
    </xf>
    <xf numFmtId="0" fontId="1" fillId="3" borderId="1" xfId="1" applyFill="1" applyBorder="1">
      <alignment wrapText="1"/>
    </xf>
    <xf numFmtId="0" fontId="0" fillId="3" borderId="1" xfId="0" applyFill="1" applyBorder="1"/>
    <xf numFmtId="0" fontId="1" fillId="4" borderId="1" xfId="1" applyFill="1" applyBorder="1">
      <alignment wrapText="1"/>
    </xf>
    <xf numFmtId="0" fontId="1" fillId="4" borderId="1" xfId="1" applyFill="1" applyBorder="1" applyAlignment="1">
      <alignment horizontal="right" wrapText="1"/>
    </xf>
    <xf numFmtId="0" fontId="1" fillId="5" borderId="1" xfId="1" applyFill="1" applyBorder="1">
      <alignment wrapText="1"/>
    </xf>
    <xf numFmtId="0" fontId="1" fillId="5" borderId="1" xfId="1" applyFill="1" applyBorder="1" applyAlignment="1">
      <alignment horizontal="right" wrapText="1"/>
    </xf>
    <xf numFmtId="0" fontId="0" fillId="0" borderId="1" xfId="0" applyBorder="1"/>
    <xf numFmtId="0" fontId="1" fillId="0" borderId="1" xfId="1" applyBorder="1">
      <alignment wrapText="1"/>
    </xf>
    <xf numFmtId="0" fontId="2" fillId="2" borderId="1" xfId="7" applyFill="1" applyBorder="1">
      <alignment horizontal="center" wrapText="1"/>
    </xf>
    <xf numFmtId="0" fontId="0" fillId="2" borderId="1" xfId="0" applyFill="1" applyBorder="1"/>
    <xf numFmtId="0" fontId="5" fillId="8" borderId="1" xfId="3" applyFill="1" applyBorder="1">
      <alignment wrapText="1"/>
    </xf>
    <xf numFmtId="0" fontId="2" fillId="0" borderId="0" xfId="7" applyAlignment="1">
      <alignment horizontal="center" vertical="center" wrapText="1"/>
    </xf>
    <xf numFmtId="0" fontId="2" fillId="6" borderId="1" xfId="7" applyFill="1" applyBorder="1">
      <alignment horizontal="center" wrapText="1"/>
    </xf>
    <xf numFmtId="0" fontId="0" fillId="7" borderId="1" xfId="0" applyFill="1" applyBorder="1" applyAlignment="1">
      <alignment horizontal="center"/>
    </xf>
    <xf numFmtId="0" fontId="2" fillId="2" borderId="1" xfId="7" applyFill="1" applyBorder="1">
      <alignment horizontal="center" wrapText="1"/>
    </xf>
    <xf numFmtId="0" fontId="2" fillId="8" borderId="1" xfId="7" applyFill="1" applyBorder="1">
      <alignment horizontal="center" wrapText="1"/>
    </xf>
    <xf numFmtId="0" fontId="5" fillId="8" borderId="1" xfId="3" applyFill="1" applyBorder="1">
      <alignment wrapText="1"/>
    </xf>
    <xf numFmtId="0" fontId="1" fillId="0" borderId="1" xfId="1" applyBorder="1">
      <alignment wrapText="1"/>
    </xf>
    <xf numFmtId="0" fontId="5" fillId="2" borderId="1" xfId="3" applyFill="1" applyBorder="1">
      <alignment wrapText="1"/>
    </xf>
    <xf numFmtId="0" fontId="2" fillId="2" borderId="1" xfId="7" applyFill="1" applyBorder="1" applyAlignment="1">
      <alignment horizontal="center" vertical="center" wrapText="1"/>
    </xf>
    <xf numFmtId="0" fontId="5" fillId="8" borderId="1" xfId="3" applyFill="1" applyBorder="1" applyAlignment="1">
      <alignment horizontal="center" wrapText="1"/>
    </xf>
  </cellXfs>
  <cellStyles count="8">
    <cellStyle name="Normal" xfId="0" builtinId="0"/>
    <cellStyle name="styleBold" xfId="4" xr:uid="{00000000-0005-0000-0000-000004000000}"/>
    <cellStyle name="styleBold11" xfId="7" xr:uid="{00000000-0005-0000-0000-000007000000}"/>
    <cellStyle name="styleBold14UR" xfId="5" xr:uid="{00000000-0005-0000-0000-000005000000}"/>
    <cellStyle name="styleBoldRegular" xfId="6" xr:uid="{00000000-0005-0000-0000-000006000000}"/>
    <cellStyle name="styleRegular" xfId="1" xr:uid="{00000000-0005-0000-0000-000001000000}"/>
    <cellStyle name="styleRegular11" xfId="3" xr:uid="{00000000-0005-0000-0000-000003000000}"/>
    <cellStyle name="styleRegular9UR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styles" Target="styles.xml"/><Relationship Id="rId5" Type="http://schemas.openxmlformats.org/officeDocument/2006/relationships/worksheet" Target="worksheets/sheet5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sharedStrings" Target="sharedString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theme" Target="theme/theme1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Criteria_Summary13.8.1" displayName="Criteria_Summary13.8.1" ref="A7:E9" totalsRowCount="1" totalsRowCellStyle="styleRegular">
  <autoFilter ref="A7:E8" xr:uid="{00000000-0009-0000-0100-000001000000}"/>
  <tableColumns count="5">
    <tableColumn id="1" xr3:uid="{00000000-0010-0000-0000-000001000000}" name="Item"/>
    <tableColumn id="2" xr3:uid="{00000000-0010-0000-0000-000002000000}" name="Tipo"/>
    <tableColumn id="3" xr3:uid="{00000000-0010-0000-0000-000003000000}" name="Elementos" totalsRowFunction="sum"/>
    <tableColumn id="4" xr3:uid="{00000000-0010-0000-0000-000004000000}" name="Nome do Subcritério"/>
    <tableColumn id="5" xr3:uid="{00000000-0010-0000-0000-000005000000}" name="Total" totalsRowFunction="sum"/>
  </tableColumns>
  <tableStyleInfo name="TableStyleLight4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Criteria_Summary13.8.10" displayName="Criteria_Summary13.8.10" ref="A7:E10" totalsRowCount="1" totalsRowCellStyle="styleRegular">
  <autoFilter ref="A7:E9" xr:uid="{00000000-0009-0000-0100-00000A000000}"/>
  <tableColumns count="5">
    <tableColumn id="1" xr3:uid="{00000000-0010-0000-0900-000001000000}" name="Item"/>
    <tableColumn id="2" xr3:uid="{00000000-0010-0000-0900-000002000000}" name="Tipo"/>
    <tableColumn id="3" xr3:uid="{00000000-0010-0000-0900-000003000000}" name="Elementos" totalsRowFunction="sum"/>
    <tableColumn id="4" xr3:uid="{00000000-0010-0000-0900-000004000000}" name="Nome do Subcritério"/>
    <tableColumn id="5" xr3:uid="{00000000-0010-0000-0900-000005000000}" name="Total" totalsRowFunction="sum"/>
  </tableColumns>
  <tableStyleInfo name="TableStyleLight4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A000000}" name="Criteria_Summary13.8.11" displayName="Criteria_Summary13.8.11" ref="A7:E9" totalsRowCount="1" totalsRowCellStyle="styleRegular">
  <autoFilter ref="A7:E8" xr:uid="{00000000-0009-0000-0100-00000B000000}"/>
  <tableColumns count="5">
    <tableColumn id="1" xr3:uid="{00000000-0010-0000-0A00-000001000000}" name="Item"/>
    <tableColumn id="2" xr3:uid="{00000000-0010-0000-0A00-000002000000}" name="Tipo"/>
    <tableColumn id="3" xr3:uid="{00000000-0010-0000-0A00-000003000000}" name="Elementos" totalsRowFunction="sum"/>
    <tableColumn id="4" xr3:uid="{00000000-0010-0000-0A00-000004000000}" name="Nome do Subcritério"/>
    <tableColumn id="5" xr3:uid="{00000000-0010-0000-0A00-000005000000}" name="Total" totalsRowFunction="sum"/>
  </tableColumns>
  <tableStyleInfo name="TableStyleLight4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B000000}" name="Criteria_Summary13.8.12" displayName="Criteria_Summary13.8.12" ref="A7:E9" totalsRowCount="1" totalsRowCellStyle="styleRegular">
  <autoFilter ref="A7:E8" xr:uid="{00000000-0009-0000-0100-00000C000000}"/>
  <tableColumns count="5">
    <tableColumn id="1" xr3:uid="{00000000-0010-0000-0B00-000001000000}" name="Item"/>
    <tableColumn id="2" xr3:uid="{00000000-0010-0000-0B00-000002000000}" name="Tipo"/>
    <tableColumn id="3" xr3:uid="{00000000-0010-0000-0B00-000003000000}" name="Elementos" totalsRowFunction="sum"/>
    <tableColumn id="4" xr3:uid="{00000000-0010-0000-0B00-000004000000}" name="Nome do Subcritério"/>
    <tableColumn id="5" xr3:uid="{00000000-0010-0000-0B00-000005000000}" name="Total" totalsRowFunction="sum"/>
  </tableColumns>
  <tableStyleInfo name="TableStyleLight4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C000000}" name="Criteria_Summary13.8.13" displayName="Criteria_Summary13.8.13" ref="A7:E12" totalsRowCount="1" totalsRowCellStyle="styleRegular">
  <autoFilter ref="A7:E11" xr:uid="{00000000-0009-0000-0100-00000D000000}"/>
  <tableColumns count="5">
    <tableColumn id="1" xr3:uid="{00000000-0010-0000-0C00-000001000000}" name="Item"/>
    <tableColumn id="2" xr3:uid="{00000000-0010-0000-0C00-000002000000}" name="Tipo"/>
    <tableColumn id="3" xr3:uid="{00000000-0010-0000-0C00-000003000000}" name="Elementos" totalsRowFunction="sum"/>
    <tableColumn id="4" xr3:uid="{00000000-0010-0000-0C00-000004000000}" name="Nome do Subcritério"/>
    <tableColumn id="5" xr3:uid="{00000000-0010-0000-0C00-000005000000}" name="Total" totalsRowFunction="sum"/>
  </tableColumns>
  <tableStyleInfo name="TableStyleLight4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0000000-000C-0000-FFFF-FFFF0D000000}" name="Criteria_Summary13.8.14" displayName="Criteria_Summary13.8.14" ref="A7:E10" totalsRowCount="1" totalsRowCellStyle="styleRegular">
  <autoFilter ref="A7:E9" xr:uid="{00000000-0009-0000-0100-00000E000000}"/>
  <tableColumns count="5">
    <tableColumn id="1" xr3:uid="{00000000-0010-0000-0D00-000001000000}" name="Item"/>
    <tableColumn id="2" xr3:uid="{00000000-0010-0000-0D00-000002000000}" name="Tipo"/>
    <tableColumn id="3" xr3:uid="{00000000-0010-0000-0D00-000003000000}" name="Elementos" totalsRowFunction="sum"/>
    <tableColumn id="4" xr3:uid="{00000000-0010-0000-0D00-000004000000}" name="Nome do Subcritério"/>
    <tableColumn id="5" xr3:uid="{00000000-0010-0000-0D00-000005000000}" name="Total" totalsRowFunction="sum"/>
  </tableColumns>
  <tableStyleInfo name="TableStyleLight4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E000000}" name="Criteria_Summary13.8.15" displayName="Criteria_Summary13.8.15" ref="A7:E9" totalsRowCount="1" totalsRowCellStyle="styleRegular">
  <autoFilter ref="A7:E8" xr:uid="{00000000-0009-0000-0100-00000F000000}"/>
  <tableColumns count="5">
    <tableColumn id="1" xr3:uid="{00000000-0010-0000-0E00-000001000000}" name="Item"/>
    <tableColumn id="2" xr3:uid="{00000000-0010-0000-0E00-000002000000}" name="Tipo"/>
    <tableColumn id="3" xr3:uid="{00000000-0010-0000-0E00-000003000000}" name="Elementos" totalsRowFunction="sum"/>
    <tableColumn id="4" xr3:uid="{00000000-0010-0000-0E00-000004000000}" name="Nome do Subcritério"/>
    <tableColumn id="5" xr3:uid="{00000000-0010-0000-0E00-000005000000}" name="Total" totalsRowFunction="sum"/>
  </tableColumns>
  <tableStyleInfo name="TableStyleLight4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00000000-000C-0000-FFFF-FFFF0F000000}" name="Criteria_Summary13.8.16" displayName="Criteria_Summary13.8.16" ref="A7:E10" totalsRowCount="1" totalsRowCellStyle="styleRegular">
  <autoFilter ref="A7:E9" xr:uid="{00000000-0009-0000-0100-000010000000}"/>
  <tableColumns count="5">
    <tableColumn id="1" xr3:uid="{00000000-0010-0000-0F00-000001000000}" name="Item"/>
    <tableColumn id="2" xr3:uid="{00000000-0010-0000-0F00-000002000000}" name="Tipo"/>
    <tableColumn id="3" xr3:uid="{00000000-0010-0000-0F00-000003000000}" name="Elementos" totalsRowFunction="sum"/>
    <tableColumn id="4" xr3:uid="{00000000-0010-0000-0F00-000004000000}" name="Nome do Subcritério"/>
    <tableColumn id="5" xr3:uid="{00000000-0010-0000-0F00-000005000000}" name="Total" totalsRowFunction="sum"/>
  </tableColumns>
  <tableStyleInfo name="TableStyleLight4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00000000-000C-0000-FFFF-FFFF10000000}" name="Criteria_Summary13.8.17" displayName="Criteria_Summary13.8.17" ref="A7:E9" totalsRowCount="1" totalsRowCellStyle="styleRegular">
  <autoFilter ref="A7:E8" xr:uid="{00000000-0009-0000-0100-000011000000}"/>
  <tableColumns count="5">
    <tableColumn id="1" xr3:uid="{00000000-0010-0000-1000-000001000000}" name="Item"/>
    <tableColumn id="2" xr3:uid="{00000000-0010-0000-1000-000002000000}" name="Tipo"/>
    <tableColumn id="3" xr3:uid="{00000000-0010-0000-1000-000003000000}" name="Elementos" totalsRowFunction="sum"/>
    <tableColumn id="4" xr3:uid="{00000000-0010-0000-1000-000004000000}" name="Nome do Subcritério"/>
    <tableColumn id="5" xr3:uid="{00000000-0010-0000-1000-000005000000}" name="Total" totalsRowFunction="sum"/>
  </tableColumns>
  <tableStyleInfo name="TableStyleLight4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00000000-000C-0000-FFFF-FFFF11000000}" name="Criteria_Summary13.8.18" displayName="Criteria_Summary13.8.18" ref="A7:E9" totalsRowCount="1" totalsRowCellStyle="styleRegular">
  <autoFilter ref="A7:E8" xr:uid="{00000000-0009-0000-0100-000012000000}"/>
  <tableColumns count="5">
    <tableColumn id="1" xr3:uid="{00000000-0010-0000-1100-000001000000}" name="Item"/>
    <tableColumn id="2" xr3:uid="{00000000-0010-0000-1100-000002000000}" name="Tipo"/>
    <tableColumn id="3" xr3:uid="{00000000-0010-0000-1100-000003000000}" name="Elementos" totalsRowFunction="sum"/>
    <tableColumn id="4" xr3:uid="{00000000-0010-0000-1100-000004000000}" name="Nome do Subcritério"/>
    <tableColumn id="5" xr3:uid="{00000000-0010-0000-1100-000005000000}" name="Total" totalsRowFunction="sum"/>
  </tableColumns>
  <tableStyleInfo name="TableStyleLight4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00000000-000C-0000-FFFF-FFFF12000000}" name="Criteria_Summary13.8.19" displayName="Criteria_Summary13.8.19" ref="A7:E9" totalsRowCount="1" totalsRowCellStyle="styleRegular">
  <autoFilter ref="A7:E8" xr:uid="{00000000-0009-0000-0100-000013000000}"/>
  <tableColumns count="5">
    <tableColumn id="1" xr3:uid="{00000000-0010-0000-1200-000001000000}" name="Item"/>
    <tableColumn id="2" xr3:uid="{00000000-0010-0000-1200-000002000000}" name="Tipo"/>
    <tableColumn id="3" xr3:uid="{00000000-0010-0000-1200-000003000000}" name="Elementos" totalsRowFunction="sum"/>
    <tableColumn id="4" xr3:uid="{00000000-0010-0000-1200-000004000000}" name="Nome do Subcritério"/>
    <tableColumn id="5" xr3:uid="{00000000-0010-0000-1200-000005000000}" name="Total" totalsRowFunction="sum"/>
  </tableColumns>
  <tableStyleInfo name="TableStyleLight4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Criteria_Summary13.8.2" displayName="Criteria_Summary13.8.2" ref="A7:E9" totalsRowCount="1" totalsRowCellStyle="styleRegular">
  <autoFilter ref="A7:E8" xr:uid="{00000000-0009-0000-0100-000002000000}"/>
  <tableColumns count="5">
    <tableColumn id="1" xr3:uid="{00000000-0010-0000-0100-000001000000}" name="Item"/>
    <tableColumn id="2" xr3:uid="{00000000-0010-0000-0100-000002000000}" name="Tipo"/>
    <tableColumn id="3" xr3:uid="{00000000-0010-0000-0100-000003000000}" name="Elementos" totalsRowFunction="sum"/>
    <tableColumn id="4" xr3:uid="{00000000-0010-0000-0100-000004000000}" name="Nome do Subcritério"/>
    <tableColumn id="5" xr3:uid="{00000000-0010-0000-0100-000005000000}" name="Total" totalsRowFunction="sum"/>
  </tableColumns>
  <tableStyleInfo name="TableStyleLight4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00000000-000C-0000-FFFF-FFFF13000000}" name="Criteria_Summary13.8.20" displayName="Criteria_Summary13.8.20" ref="A7:E9" totalsRowCount="1" totalsRowCellStyle="styleRegular">
  <autoFilter ref="A7:E8" xr:uid="{00000000-0009-0000-0100-000014000000}"/>
  <tableColumns count="5">
    <tableColumn id="1" xr3:uid="{00000000-0010-0000-1300-000001000000}" name="Item"/>
    <tableColumn id="2" xr3:uid="{00000000-0010-0000-1300-000002000000}" name="Tipo"/>
    <tableColumn id="3" xr3:uid="{00000000-0010-0000-1300-000003000000}" name="Elementos" totalsRowFunction="sum"/>
    <tableColumn id="4" xr3:uid="{00000000-0010-0000-1300-000004000000}" name="Nome do Subcritério"/>
    <tableColumn id="5" xr3:uid="{00000000-0010-0000-1300-000005000000}" name="Total" totalsRowFunction="sum"/>
  </tableColumns>
  <tableStyleInfo name="TableStyleLight4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0000000-000C-0000-FFFF-FFFF14000000}" name="Criteria_Summary13.8.21" displayName="Criteria_Summary13.8.21" ref="A7:E9" totalsRowCount="1" totalsRowCellStyle="styleRegular">
  <autoFilter ref="A7:E8" xr:uid="{00000000-0009-0000-0100-000015000000}"/>
  <tableColumns count="5">
    <tableColumn id="1" xr3:uid="{00000000-0010-0000-1400-000001000000}" name="Item"/>
    <tableColumn id="2" xr3:uid="{00000000-0010-0000-1400-000002000000}" name="Tipo"/>
    <tableColumn id="3" xr3:uid="{00000000-0010-0000-1400-000003000000}" name="Elementos" totalsRowFunction="sum"/>
    <tableColumn id="4" xr3:uid="{00000000-0010-0000-1400-000004000000}" name="Nome do Subcritério"/>
    <tableColumn id="5" xr3:uid="{00000000-0010-0000-1400-000005000000}" name="Total" totalsRowFunction="sum"/>
  </tableColumns>
  <tableStyleInfo name="TableStyleLight4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00000000-000C-0000-FFFF-FFFF15000000}" name="Criteria_Summary13.8.22" displayName="Criteria_Summary13.8.22" ref="A7:E9" totalsRowCount="1" totalsRowCellStyle="styleRegular">
  <autoFilter ref="A7:E8" xr:uid="{00000000-0009-0000-0100-000016000000}"/>
  <tableColumns count="5">
    <tableColumn id="1" xr3:uid="{00000000-0010-0000-1500-000001000000}" name="Item"/>
    <tableColumn id="2" xr3:uid="{00000000-0010-0000-1500-000002000000}" name="Tipo"/>
    <tableColumn id="3" xr3:uid="{00000000-0010-0000-1500-000003000000}" name="Elementos" totalsRowFunction="sum"/>
    <tableColumn id="4" xr3:uid="{00000000-0010-0000-1500-000004000000}" name="Nome do Subcritério"/>
    <tableColumn id="5" xr3:uid="{00000000-0010-0000-1500-000005000000}" name="Total" totalsRowFunction="sum"/>
  </tableColumns>
  <tableStyleInfo name="TableStyleLight4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00000000-000C-0000-FFFF-FFFF16000000}" name="Criteria_Summary13.8.23" displayName="Criteria_Summary13.8.23" ref="A7:E9" totalsRowCount="1" totalsRowCellStyle="styleRegular">
  <autoFilter ref="A7:E8" xr:uid="{00000000-0009-0000-0100-000017000000}"/>
  <tableColumns count="5">
    <tableColumn id="1" xr3:uid="{00000000-0010-0000-1600-000001000000}" name="Item"/>
    <tableColumn id="2" xr3:uid="{00000000-0010-0000-1600-000002000000}" name="Tipo"/>
    <tableColumn id="3" xr3:uid="{00000000-0010-0000-1600-000003000000}" name="Elementos" totalsRowFunction="sum"/>
    <tableColumn id="4" xr3:uid="{00000000-0010-0000-1600-000004000000}" name="Nome do Subcritério"/>
    <tableColumn id="5" xr3:uid="{00000000-0010-0000-1600-000005000000}" name="Total" totalsRowFunction="sum"/>
  </tableColumns>
  <tableStyleInfo name="TableStyleLight4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00000000-000C-0000-FFFF-FFFF17000000}" name="Criteria_Summary13.8.24" displayName="Criteria_Summary13.8.24" ref="A7:E9" totalsRowCount="1" totalsRowCellStyle="styleRegular">
  <autoFilter ref="A7:E8" xr:uid="{00000000-0009-0000-0100-000018000000}"/>
  <tableColumns count="5">
    <tableColumn id="1" xr3:uid="{00000000-0010-0000-1700-000001000000}" name="Item"/>
    <tableColumn id="2" xr3:uid="{00000000-0010-0000-1700-000002000000}" name="Tipo"/>
    <tableColumn id="3" xr3:uid="{00000000-0010-0000-1700-000003000000}" name="Elementos" totalsRowFunction="sum"/>
    <tableColumn id="4" xr3:uid="{00000000-0010-0000-1700-000004000000}" name="Nome do Subcritério"/>
    <tableColumn id="5" xr3:uid="{00000000-0010-0000-1700-000005000000}" name="Total" totalsRowFunction="sum"/>
  </tableColumns>
  <tableStyleInfo name="TableStyleLight4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00000000-000C-0000-FFFF-FFFF18000000}" name="Criteria_Summary13.8.25" displayName="Criteria_Summary13.8.25" ref="A7:E9" totalsRowCount="1" totalsRowCellStyle="styleRegular">
  <autoFilter ref="A7:E8" xr:uid="{00000000-0009-0000-0100-000019000000}"/>
  <tableColumns count="5">
    <tableColumn id="1" xr3:uid="{00000000-0010-0000-1800-000001000000}" name="Item"/>
    <tableColumn id="2" xr3:uid="{00000000-0010-0000-1800-000002000000}" name="Tipo"/>
    <tableColumn id="3" xr3:uid="{00000000-0010-0000-1800-000003000000}" name="Elementos" totalsRowFunction="sum"/>
    <tableColumn id="4" xr3:uid="{00000000-0010-0000-1800-000004000000}" name="Nome do Subcritério"/>
    <tableColumn id="5" xr3:uid="{00000000-0010-0000-1800-000005000000}" name="Total" totalsRowFunction="sum"/>
  </tableColumns>
  <tableStyleInfo name="TableStyleLight4" showFirstColumn="0" showLastColumn="0" showRowStripes="1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00000000-000C-0000-FFFF-FFFF19000000}" name="Criteria_Summary13.8.26" displayName="Criteria_Summary13.8.26" ref="A7:E9" totalsRowCount="1" totalsRowCellStyle="styleRegular">
  <autoFilter ref="A7:E8" xr:uid="{00000000-0009-0000-0100-00001A000000}"/>
  <tableColumns count="5">
    <tableColumn id="1" xr3:uid="{00000000-0010-0000-1900-000001000000}" name="Item"/>
    <tableColumn id="2" xr3:uid="{00000000-0010-0000-1900-000002000000}" name="Tipo"/>
    <tableColumn id="3" xr3:uid="{00000000-0010-0000-1900-000003000000}" name="Elementos" totalsRowFunction="sum"/>
    <tableColumn id="4" xr3:uid="{00000000-0010-0000-1900-000004000000}" name="Nome do Subcritério"/>
    <tableColumn id="5" xr3:uid="{00000000-0010-0000-1900-000005000000}" name="Total" totalsRowFunction="sum"/>
  </tableColumns>
  <tableStyleInfo name="TableStyleLight4" showFirstColumn="0" showLastColumn="0" showRowStripes="1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00000000-000C-0000-FFFF-FFFF1A000000}" name="Criteria_Summary13.8.27" displayName="Criteria_Summary13.8.27" ref="A7:E9" totalsRowCount="1" totalsRowCellStyle="styleRegular">
  <autoFilter ref="A7:E8" xr:uid="{00000000-0009-0000-0100-00001B000000}"/>
  <tableColumns count="5">
    <tableColumn id="1" xr3:uid="{00000000-0010-0000-1A00-000001000000}" name="Item"/>
    <tableColumn id="2" xr3:uid="{00000000-0010-0000-1A00-000002000000}" name="Tipo"/>
    <tableColumn id="3" xr3:uid="{00000000-0010-0000-1A00-000003000000}" name="Elementos" totalsRowFunction="sum"/>
    <tableColumn id="4" xr3:uid="{00000000-0010-0000-1A00-000004000000}" name="Nome do Subcritério"/>
    <tableColumn id="5" xr3:uid="{00000000-0010-0000-1A00-000005000000}" name="Total" totalsRowFunction="sum"/>
  </tableColumns>
  <tableStyleInfo name="TableStyleLight4" showFirstColumn="0" showLastColumn="0" showRowStripes="1" showColumnStripes="0"/>
</table>
</file>

<file path=xl/tables/table2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" xr:uid="{00000000-000C-0000-FFFF-FFFF1B000000}" name="Elements13811" displayName="Elements13811" ref="A6:E55" totalsRowCount="1" totalsRowCellStyle="styleRegular">
  <autoFilter ref="A6:E54" xr:uid="{00000000-0009-0000-0100-00001C000000}"/>
  <tableColumns count="5">
    <tableColumn id="1" xr3:uid="{00000000-0010-0000-1B00-000001000000}" name="Projeto"/>
    <tableColumn id="2" xr3:uid="{00000000-0010-0000-1B00-000002000000}" name="Vínculo"/>
    <tableColumn id="3" xr3:uid="{00000000-0010-0000-1B00-000003000000}" name="Elemento" totalsRowFunction="count"/>
    <tableColumn id="4" xr3:uid="{00000000-0010-0000-1B00-000004000000}" name="Id do Revit"/>
    <tableColumn id="5" xr3:uid="{00000000-0010-0000-1B00-000005000000}" name="Totais:" totalsRowFunction="sum"/>
  </tableColumns>
  <tableStyleInfo name="TableStyleLight4" showFirstColumn="0" showLastColumn="0" showRowStripes="1" showColumnStripes="0"/>
</table>
</file>

<file path=xl/tables/table2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" xr:uid="{00000000-000C-0000-FFFF-FFFF1C000000}" name="Elements13821" displayName="Elements13821" ref="A6:E47" totalsRowCount="1" totalsRowCellStyle="styleRegular">
  <autoFilter ref="A6:E46" xr:uid="{00000000-0009-0000-0100-00001D000000}"/>
  <tableColumns count="5">
    <tableColumn id="1" xr3:uid="{00000000-0010-0000-1C00-000001000000}" name="Projeto"/>
    <tableColumn id="2" xr3:uid="{00000000-0010-0000-1C00-000002000000}" name="Vínculo"/>
    <tableColumn id="3" xr3:uid="{00000000-0010-0000-1C00-000003000000}" name="Elemento" totalsRowFunction="count"/>
    <tableColumn id="4" xr3:uid="{00000000-0010-0000-1C00-000004000000}" name="Id do Revit"/>
    <tableColumn id="5" xr3:uid="{00000000-0010-0000-1C00-000005000000}" name="Totais:" totalsRowFunction="sum"/>
  </tableColumns>
  <tableStyleInfo name="TableStyleLight4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Criteria_Summary13.8.3" displayName="Criteria_Summary13.8.3" ref="A7:E9" totalsRowCount="1" totalsRowCellStyle="styleRegular">
  <autoFilter ref="A7:E8" xr:uid="{00000000-0009-0000-0100-000003000000}"/>
  <tableColumns count="5">
    <tableColumn id="1" xr3:uid="{00000000-0010-0000-0200-000001000000}" name="Item"/>
    <tableColumn id="2" xr3:uid="{00000000-0010-0000-0200-000002000000}" name="Tipo"/>
    <tableColumn id="3" xr3:uid="{00000000-0010-0000-0200-000003000000}" name="Elementos" totalsRowFunction="sum"/>
    <tableColumn id="4" xr3:uid="{00000000-0010-0000-0200-000004000000}" name="Nome do Subcritério"/>
    <tableColumn id="5" xr3:uid="{00000000-0010-0000-0200-000005000000}" name="Total" totalsRowFunction="sum"/>
  </tableColumns>
  <tableStyleInfo name="TableStyleLight4" showFirstColumn="0" showLastColumn="0" showRowStripes="1" showColumnStripes="0"/>
</table>
</file>

<file path=xl/tables/table3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0" xr:uid="{00000000-000C-0000-FFFF-FFFF1D000000}" name="Elements13831" displayName="Elements13831" ref="A6:E49" totalsRowCount="1" totalsRowCellStyle="styleRegular">
  <autoFilter ref="A6:E48" xr:uid="{00000000-0009-0000-0100-00001E000000}"/>
  <tableColumns count="5">
    <tableColumn id="1" xr3:uid="{00000000-0010-0000-1D00-000001000000}" name="Projeto"/>
    <tableColumn id="2" xr3:uid="{00000000-0010-0000-1D00-000002000000}" name="Vínculo"/>
    <tableColumn id="3" xr3:uid="{00000000-0010-0000-1D00-000003000000}" name="Elemento" totalsRowFunction="count"/>
    <tableColumn id="4" xr3:uid="{00000000-0010-0000-1D00-000004000000}" name="Id do Revit"/>
    <tableColumn id="5" xr3:uid="{00000000-0010-0000-1D00-000005000000}" name="Totais:" totalsRowFunction="sum"/>
  </tableColumns>
  <tableStyleInfo name="TableStyleLight4" showFirstColumn="0" showLastColumn="0" showRowStripes="1" showColumnStripes="0"/>
</table>
</file>

<file path=xl/tables/table3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1" xr:uid="{00000000-000C-0000-FFFF-FFFF1E000000}" name="Elements13841" displayName="Elements13841" ref="A6:E54" totalsRowCount="1" totalsRowCellStyle="styleRegular">
  <autoFilter ref="A6:E53" xr:uid="{00000000-0009-0000-0100-00001F000000}"/>
  <tableColumns count="5">
    <tableColumn id="1" xr3:uid="{00000000-0010-0000-1E00-000001000000}" name="Projeto"/>
    <tableColumn id="2" xr3:uid="{00000000-0010-0000-1E00-000002000000}" name="Vínculo"/>
    <tableColumn id="3" xr3:uid="{00000000-0010-0000-1E00-000003000000}" name="Elemento" totalsRowFunction="count"/>
    <tableColumn id="4" xr3:uid="{00000000-0010-0000-1E00-000004000000}" name="Id do Revit"/>
    <tableColumn id="5" xr3:uid="{00000000-0010-0000-1E00-000005000000}" name="Totais:" totalsRowFunction="sum"/>
  </tableColumns>
  <tableStyleInfo name="TableStyleLight4" showFirstColumn="0" showLastColumn="0" showRowStripes="1" showColumnStripes="0"/>
</table>
</file>

<file path=xl/tables/table3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2" xr:uid="{00000000-000C-0000-FFFF-FFFF1F000000}" name="Elements13851" displayName="Elements13851" ref="A6:E10" totalsRowCount="1" totalsRowCellStyle="styleRegular">
  <autoFilter ref="A6:E9" xr:uid="{00000000-0009-0000-0100-000020000000}"/>
  <tableColumns count="5">
    <tableColumn id="1" xr3:uid="{00000000-0010-0000-1F00-000001000000}" name="Projeto"/>
    <tableColumn id="2" xr3:uid="{00000000-0010-0000-1F00-000002000000}" name="Vínculo"/>
    <tableColumn id="3" xr3:uid="{00000000-0010-0000-1F00-000003000000}" name="Elemento" totalsRowFunction="count"/>
    <tableColumn id="4" xr3:uid="{00000000-0010-0000-1F00-000004000000}" name="Id do Revit"/>
    <tableColumn id="5" xr3:uid="{00000000-0010-0000-1F00-000005000000}" name="Totais:" totalsRowFunction="sum"/>
  </tableColumns>
  <tableStyleInfo name="TableStyleLight4" showFirstColumn="0" showLastColumn="0" showRowStripes="1" showColumnStripes="0"/>
</table>
</file>

<file path=xl/tables/table3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" xr:uid="{00000000-000C-0000-FFFF-FFFF20000000}" name="Elements13861" displayName="Elements13861" ref="A6:E48" totalsRowCount="1" totalsRowCellStyle="styleRegular">
  <autoFilter ref="A6:E47" xr:uid="{00000000-0009-0000-0100-000021000000}"/>
  <tableColumns count="5">
    <tableColumn id="1" xr3:uid="{00000000-0010-0000-2000-000001000000}" name="Projeto"/>
    <tableColumn id="2" xr3:uid="{00000000-0010-0000-2000-000002000000}" name="Vínculo"/>
    <tableColumn id="3" xr3:uid="{00000000-0010-0000-2000-000003000000}" name="Elemento" totalsRowFunction="count"/>
    <tableColumn id="4" xr3:uid="{00000000-0010-0000-2000-000004000000}" name="Id do Revit"/>
    <tableColumn id="5" xr3:uid="{00000000-0010-0000-2000-000005000000}" name="Totais:" totalsRowFunction="sum"/>
  </tableColumns>
  <tableStyleInfo name="TableStyleLight4" showFirstColumn="0" showLastColumn="0" showRowStripes="1" showColumnStripes="0"/>
</table>
</file>

<file path=xl/tables/table3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4" xr:uid="{00000000-000C-0000-FFFF-FFFF21000000}" name="Elements13871" displayName="Elements13871" ref="A6:E8" totalsRowCount="1" totalsRowCellStyle="styleRegular">
  <autoFilter ref="A6:E7" xr:uid="{00000000-0009-0000-0100-000022000000}"/>
  <tableColumns count="5">
    <tableColumn id="1" xr3:uid="{00000000-0010-0000-2100-000001000000}" name="Projeto"/>
    <tableColumn id="2" xr3:uid="{00000000-0010-0000-2100-000002000000}" name="Vínculo"/>
    <tableColumn id="3" xr3:uid="{00000000-0010-0000-2100-000003000000}" name="Elemento" totalsRowFunction="count"/>
    <tableColumn id="4" xr3:uid="{00000000-0010-0000-2100-000004000000}" name="Id do Revit"/>
    <tableColumn id="5" xr3:uid="{00000000-0010-0000-2100-000005000000}" name="Totais:" totalsRowFunction="sum"/>
  </tableColumns>
  <tableStyleInfo name="TableStyleLight4" showFirstColumn="0" showLastColumn="0" showRowStripes="1" showColumnStripes="0"/>
</table>
</file>

<file path=xl/tables/table3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5" xr:uid="{00000000-000C-0000-FFFF-FFFF22000000}" name="Elements13881" displayName="Elements13881" ref="A6:E20" totalsRowCount="1" totalsRowCellStyle="styleRegular">
  <autoFilter ref="A6:E19" xr:uid="{00000000-0009-0000-0100-000023000000}"/>
  <tableColumns count="5">
    <tableColumn id="1" xr3:uid="{00000000-0010-0000-2200-000001000000}" name="Projeto"/>
    <tableColumn id="2" xr3:uid="{00000000-0010-0000-2200-000002000000}" name="Vínculo"/>
    <tableColumn id="3" xr3:uid="{00000000-0010-0000-2200-000003000000}" name="Elemento" totalsRowFunction="count"/>
    <tableColumn id="4" xr3:uid="{00000000-0010-0000-2200-000004000000}" name="Id do Revit"/>
    <tableColumn id="5" xr3:uid="{00000000-0010-0000-2200-000005000000}" name="Totais:" totalsRowFunction="sum"/>
  </tableColumns>
  <tableStyleInfo name="TableStyleLight4" showFirstColumn="0" showLastColumn="0" showRowStripes="1" showColumnStripes="0"/>
</table>
</file>

<file path=xl/tables/table3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6" xr:uid="{00000000-000C-0000-FFFF-FFFF23000000}" name="Elements13882" displayName="Elements13882" ref="A28:E42" totalsRowCount="1" totalsRowCellStyle="styleRegular">
  <autoFilter ref="A28:E41" xr:uid="{00000000-0009-0000-0100-000024000000}"/>
  <tableColumns count="5">
    <tableColumn id="1" xr3:uid="{00000000-0010-0000-2300-000001000000}" name="Projeto"/>
    <tableColumn id="2" xr3:uid="{00000000-0010-0000-2300-000002000000}" name="Vínculo"/>
    <tableColumn id="3" xr3:uid="{00000000-0010-0000-2300-000003000000}" name="Elemento" totalsRowFunction="count"/>
    <tableColumn id="4" xr3:uid="{00000000-0010-0000-2300-000004000000}" name="Id do Revit"/>
    <tableColumn id="5" xr3:uid="{00000000-0010-0000-2300-000005000000}" name="Totais:" totalsRowFunction="sum"/>
  </tableColumns>
  <tableStyleInfo name="TableStyleLight4" showFirstColumn="0" showLastColumn="0" showRowStripes="1" showColumnStripes="0"/>
</table>
</file>

<file path=xl/tables/table3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7" xr:uid="{00000000-000C-0000-FFFF-FFFF24000000}" name="Elements13891" displayName="Elements13891" ref="A6:E191" totalsRowCount="1" totalsRowCellStyle="styleRegular">
  <autoFilter ref="A6:E190" xr:uid="{00000000-0009-0000-0100-000025000000}"/>
  <tableColumns count="5">
    <tableColumn id="1" xr3:uid="{00000000-0010-0000-2400-000001000000}" name="Projeto"/>
    <tableColumn id="2" xr3:uid="{00000000-0010-0000-2400-000002000000}" name="Vínculo"/>
    <tableColumn id="3" xr3:uid="{00000000-0010-0000-2400-000003000000}" name="Elemento" totalsRowFunction="count"/>
    <tableColumn id="4" xr3:uid="{00000000-0010-0000-2400-000004000000}" name="Id do Revit"/>
    <tableColumn id="5" xr3:uid="{00000000-0010-0000-2400-000005000000}" name="Totais:" totalsRowFunction="sum"/>
  </tableColumns>
  <tableStyleInfo name="TableStyleLight4" showFirstColumn="0" showLastColumn="0" showRowStripes="1" showColumnStripes="0"/>
</table>
</file>

<file path=xl/tables/table3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8" xr:uid="{00000000-000C-0000-FFFF-FFFF25000000}" name="Elements138101" displayName="Elements138101" ref="A6:E10" totalsRowCount="1" totalsRowCellStyle="styleRegular">
  <autoFilter ref="A6:E9" xr:uid="{00000000-0009-0000-0100-000026000000}"/>
  <tableColumns count="5">
    <tableColumn id="1" xr3:uid="{00000000-0010-0000-2500-000001000000}" name="Projeto"/>
    <tableColumn id="2" xr3:uid="{00000000-0010-0000-2500-000002000000}" name="Vínculo"/>
    <tableColumn id="3" xr3:uid="{00000000-0010-0000-2500-000003000000}" name="Elemento" totalsRowFunction="count"/>
    <tableColumn id="4" xr3:uid="{00000000-0010-0000-2500-000004000000}" name="Id do Revit"/>
    <tableColumn id="5" xr3:uid="{00000000-0010-0000-2500-000005000000}" name="Totais:" totalsRowFunction="sum"/>
  </tableColumns>
  <tableStyleInfo name="TableStyleLight4" showFirstColumn="0" showLastColumn="0" showRowStripes="1" showColumnStripes="0"/>
</table>
</file>

<file path=xl/tables/table3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9" xr:uid="{00000000-000C-0000-FFFF-FFFF26000000}" name="Elements138102" displayName="Elements138102" ref="A18:E27" totalsRowCount="1" totalsRowCellStyle="styleRegular">
  <autoFilter ref="A18:E26" xr:uid="{00000000-0009-0000-0100-000027000000}"/>
  <tableColumns count="5">
    <tableColumn id="1" xr3:uid="{00000000-0010-0000-2600-000001000000}" name="Projeto"/>
    <tableColumn id="2" xr3:uid="{00000000-0010-0000-2600-000002000000}" name="Vínculo"/>
    <tableColumn id="3" xr3:uid="{00000000-0010-0000-2600-000003000000}" name="Elemento" totalsRowFunction="count"/>
    <tableColumn id="4" xr3:uid="{00000000-0010-0000-2600-000004000000}" name="Id do Revit"/>
    <tableColumn id="5" xr3:uid="{00000000-0010-0000-2600-000005000000}" name="Totais:" totalsRowFunction="sum"/>
  </tableColumns>
  <tableStyleInfo name="TableStyleLight4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Criteria_Summary13.8.4" displayName="Criteria_Summary13.8.4" ref="A7:E9" totalsRowCount="1" totalsRowCellStyle="styleRegular">
  <autoFilter ref="A7:E8" xr:uid="{00000000-0009-0000-0100-000004000000}"/>
  <tableColumns count="5">
    <tableColumn id="1" xr3:uid="{00000000-0010-0000-0300-000001000000}" name="Item"/>
    <tableColumn id="2" xr3:uid="{00000000-0010-0000-0300-000002000000}" name="Tipo"/>
    <tableColumn id="3" xr3:uid="{00000000-0010-0000-0300-000003000000}" name="Elementos" totalsRowFunction="sum"/>
    <tableColumn id="4" xr3:uid="{00000000-0010-0000-0300-000004000000}" name="Nome do Subcritério"/>
    <tableColumn id="5" xr3:uid="{00000000-0010-0000-0300-000005000000}" name="Total" totalsRowFunction="sum"/>
  </tableColumns>
  <tableStyleInfo name="TableStyleLight4" showFirstColumn="0" showLastColumn="0" showRowStripes="1" showColumnStripes="0"/>
</table>
</file>

<file path=xl/tables/table4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0" xr:uid="{00000000-000C-0000-FFFF-FFFF27000000}" name="Elements138111" displayName="Elements138111" ref="A6:E125" totalsRowCount="1" totalsRowCellStyle="styleRegular">
  <autoFilter ref="A6:E124" xr:uid="{00000000-0009-0000-0100-000028000000}"/>
  <tableColumns count="5">
    <tableColumn id="1" xr3:uid="{00000000-0010-0000-2700-000001000000}" name="Projeto"/>
    <tableColumn id="2" xr3:uid="{00000000-0010-0000-2700-000002000000}" name="Vínculo"/>
    <tableColumn id="3" xr3:uid="{00000000-0010-0000-2700-000003000000}" name="Elemento" totalsRowFunction="count"/>
    <tableColumn id="4" xr3:uid="{00000000-0010-0000-2700-000004000000}" name="Id do Revit"/>
    <tableColumn id="5" xr3:uid="{00000000-0010-0000-2700-000005000000}" name="Totais:" totalsRowFunction="sum"/>
  </tableColumns>
  <tableStyleInfo name="TableStyleLight4" showFirstColumn="0" showLastColumn="0" showRowStripes="1" showColumnStripes="0"/>
</table>
</file>

<file path=xl/tables/table4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1" xr:uid="{00000000-000C-0000-FFFF-FFFF28000000}" name="Elements138121" displayName="Elements138121" ref="A6:E13" totalsRowCount="1" totalsRowCellStyle="styleRegular">
  <autoFilter ref="A6:E12" xr:uid="{00000000-0009-0000-0100-000029000000}"/>
  <tableColumns count="5">
    <tableColumn id="1" xr3:uid="{00000000-0010-0000-2800-000001000000}" name="Projeto"/>
    <tableColumn id="2" xr3:uid="{00000000-0010-0000-2800-000002000000}" name="Vínculo"/>
    <tableColumn id="3" xr3:uid="{00000000-0010-0000-2800-000003000000}" name="Elemento" totalsRowFunction="count"/>
    <tableColumn id="4" xr3:uid="{00000000-0010-0000-2800-000004000000}" name="Id do Revit"/>
    <tableColumn id="5" xr3:uid="{00000000-0010-0000-2800-000005000000}" name="Totais:" totalsRowFunction="sum"/>
  </tableColumns>
  <tableStyleInfo name="TableStyleLight4" showFirstColumn="0" showLastColumn="0" showRowStripes="1" showColumnStripes="0"/>
</table>
</file>

<file path=xl/tables/table4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2" xr:uid="{00000000-000C-0000-FFFF-FFFF29000000}" name="Elements138131" displayName="Elements138131" ref="A6:E20" totalsRowCount="1" totalsRowCellStyle="styleRegular">
  <autoFilter ref="A6:E19" xr:uid="{00000000-0009-0000-0100-00002A000000}"/>
  <tableColumns count="5">
    <tableColumn id="1" xr3:uid="{00000000-0010-0000-2900-000001000000}" name="Projeto"/>
    <tableColumn id="2" xr3:uid="{00000000-0010-0000-2900-000002000000}" name="Vínculo"/>
    <tableColumn id="3" xr3:uid="{00000000-0010-0000-2900-000003000000}" name="Elemento" totalsRowFunction="count"/>
    <tableColumn id="4" xr3:uid="{00000000-0010-0000-2900-000004000000}" name="Id do Revit"/>
    <tableColumn id="5" xr3:uid="{00000000-0010-0000-2900-000005000000}" name="Totais:" totalsRowFunction="sum"/>
  </tableColumns>
  <tableStyleInfo name="TableStyleLight4" showFirstColumn="0" showLastColumn="0" showRowStripes="1" showColumnStripes="0"/>
</table>
</file>

<file path=xl/tables/table4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3" xr:uid="{00000000-000C-0000-FFFF-FFFF2A000000}" name="Elements138132" displayName="Elements138132" ref="A28:E42" totalsRowCount="1" totalsRowCellStyle="styleRegular">
  <autoFilter ref="A28:E41" xr:uid="{00000000-0009-0000-0100-00002B000000}"/>
  <tableColumns count="5">
    <tableColumn id="1" xr3:uid="{00000000-0010-0000-2A00-000001000000}" name="Projeto"/>
    <tableColumn id="2" xr3:uid="{00000000-0010-0000-2A00-000002000000}" name="Vínculo"/>
    <tableColumn id="3" xr3:uid="{00000000-0010-0000-2A00-000003000000}" name="Elemento" totalsRowFunction="count"/>
    <tableColumn id="4" xr3:uid="{00000000-0010-0000-2A00-000004000000}" name="Id do Revit"/>
    <tableColumn id="5" xr3:uid="{00000000-0010-0000-2A00-000005000000}" name="Totais:" totalsRowFunction="sum"/>
  </tableColumns>
  <tableStyleInfo name="TableStyleLight4" showFirstColumn="0" showLastColumn="0" showRowStripes="1" showColumnStripes="0"/>
</table>
</file>

<file path=xl/tables/table4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4" xr:uid="{00000000-000C-0000-FFFF-FFFF2B000000}" name="Elements138133" displayName="Elements138133" ref="A50:E77" totalsRowCount="1" totalsRowCellStyle="styleRegular">
  <autoFilter ref="A50:E76" xr:uid="{00000000-0009-0000-0100-00002C000000}"/>
  <tableColumns count="5">
    <tableColumn id="1" xr3:uid="{00000000-0010-0000-2B00-000001000000}" name="Projeto"/>
    <tableColumn id="2" xr3:uid="{00000000-0010-0000-2B00-000002000000}" name="Vínculo"/>
    <tableColumn id="3" xr3:uid="{00000000-0010-0000-2B00-000003000000}" name="Elemento" totalsRowFunction="count"/>
    <tableColumn id="4" xr3:uid="{00000000-0010-0000-2B00-000004000000}" name="Id do Revit"/>
    <tableColumn id="5" xr3:uid="{00000000-0010-0000-2B00-000005000000}" name="Totais:" totalsRowFunction="sum"/>
  </tableColumns>
  <tableStyleInfo name="TableStyleLight4" showFirstColumn="0" showLastColumn="0" showRowStripes="1" showColumnStripes="0"/>
</table>
</file>

<file path=xl/tables/table4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5" xr:uid="{00000000-000C-0000-FFFF-FFFF2C000000}" name="Elements138134" displayName="Elements138134" ref="A85:E156" totalsRowCount="1" totalsRowCellStyle="styleRegular">
  <autoFilter ref="A85:E155" xr:uid="{00000000-0009-0000-0100-00002D000000}"/>
  <tableColumns count="5">
    <tableColumn id="1" xr3:uid="{00000000-0010-0000-2C00-000001000000}" name="Projeto"/>
    <tableColumn id="2" xr3:uid="{00000000-0010-0000-2C00-000002000000}" name="Vínculo"/>
    <tableColumn id="3" xr3:uid="{00000000-0010-0000-2C00-000003000000}" name="Elemento" totalsRowFunction="count"/>
    <tableColumn id="4" xr3:uid="{00000000-0010-0000-2C00-000004000000}" name="Id do Revit"/>
    <tableColumn id="5" xr3:uid="{00000000-0010-0000-2C00-000005000000}" name="Totais:" totalsRowFunction="sum"/>
  </tableColumns>
  <tableStyleInfo name="TableStyleLight4" showFirstColumn="0" showLastColumn="0" showRowStripes="1" showColumnStripes="0"/>
</table>
</file>

<file path=xl/tables/table4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6" xr:uid="{00000000-000C-0000-FFFF-FFFF2D000000}" name="Elements138141" displayName="Elements138141" ref="A6:E120" totalsRowCount="1" totalsRowCellStyle="styleRegular">
  <autoFilter ref="A6:E119" xr:uid="{00000000-0009-0000-0100-00002E000000}"/>
  <tableColumns count="5">
    <tableColumn id="1" xr3:uid="{00000000-0010-0000-2D00-000001000000}" name="Projeto"/>
    <tableColumn id="2" xr3:uid="{00000000-0010-0000-2D00-000002000000}" name="Vínculo"/>
    <tableColumn id="3" xr3:uid="{00000000-0010-0000-2D00-000003000000}" name="Elemento" totalsRowFunction="count"/>
    <tableColumn id="4" xr3:uid="{00000000-0010-0000-2D00-000004000000}" name="Id do Revit"/>
    <tableColumn id="5" xr3:uid="{00000000-0010-0000-2D00-000005000000}" name="Totais:" totalsRowFunction="sum"/>
  </tableColumns>
  <tableStyleInfo name="TableStyleLight4" showFirstColumn="0" showLastColumn="0" showRowStripes="1" showColumnStripes="0"/>
</table>
</file>

<file path=xl/tables/table4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7" xr:uid="{00000000-000C-0000-FFFF-FFFF2E000000}" name="Elements138142" displayName="Elements138142" ref="A128:E353" totalsRowCount="1" totalsRowCellStyle="styleRegular">
  <autoFilter ref="A128:E352" xr:uid="{00000000-0009-0000-0100-00002F000000}"/>
  <tableColumns count="5">
    <tableColumn id="1" xr3:uid="{00000000-0010-0000-2E00-000001000000}" name="Projeto"/>
    <tableColumn id="2" xr3:uid="{00000000-0010-0000-2E00-000002000000}" name="Vínculo"/>
    <tableColumn id="3" xr3:uid="{00000000-0010-0000-2E00-000003000000}" name="Elemento" totalsRowFunction="count"/>
    <tableColumn id="4" xr3:uid="{00000000-0010-0000-2E00-000004000000}" name="Id do Revit"/>
    <tableColumn id="5" xr3:uid="{00000000-0010-0000-2E00-000005000000}" name="Totais:" totalsRowFunction="sum"/>
  </tableColumns>
  <tableStyleInfo name="TableStyleLight4" showFirstColumn="0" showLastColumn="0" showRowStripes="1" showColumnStripes="0"/>
</table>
</file>

<file path=xl/tables/table4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8" xr:uid="{00000000-000C-0000-FFFF-FFFF2F000000}" name="Elements138151" displayName="Elements138151" ref="A6:E8" totalsRowCount="1" totalsRowCellStyle="styleRegular">
  <autoFilter ref="A6:E7" xr:uid="{00000000-0009-0000-0100-000030000000}"/>
  <tableColumns count="5">
    <tableColumn id="1" xr3:uid="{00000000-0010-0000-2F00-000001000000}" name="Projeto"/>
    <tableColumn id="2" xr3:uid="{00000000-0010-0000-2F00-000002000000}" name="Vínculo"/>
    <tableColumn id="3" xr3:uid="{00000000-0010-0000-2F00-000003000000}" name="Elemento" totalsRowFunction="count"/>
    <tableColumn id="4" xr3:uid="{00000000-0010-0000-2F00-000004000000}" name="Id do Revit"/>
    <tableColumn id="5" xr3:uid="{00000000-0010-0000-2F00-000005000000}" name="Totais:" totalsRowFunction="sum"/>
  </tableColumns>
  <tableStyleInfo name="TableStyleLight4" showFirstColumn="0" showLastColumn="0" showRowStripes="1" showColumnStripes="0"/>
</table>
</file>

<file path=xl/tables/table4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9" xr:uid="{00000000-000C-0000-FFFF-FFFF30000000}" name="Elements138161" displayName="Elements138161" ref="A6:E29" totalsRowCount="1" totalsRowCellStyle="styleRegular">
  <autoFilter ref="A6:E28" xr:uid="{00000000-0009-0000-0100-000031000000}"/>
  <tableColumns count="5">
    <tableColumn id="1" xr3:uid="{00000000-0010-0000-3000-000001000000}" name="Projeto"/>
    <tableColumn id="2" xr3:uid="{00000000-0010-0000-3000-000002000000}" name="Vínculo"/>
    <tableColumn id="3" xr3:uid="{00000000-0010-0000-3000-000003000000}" name="Elemento" totalsRowFunction="count"/>
    <tableColumn id="4" xr3:uid="{00000000-0010-0000-3000-000004000000}" name="Id do Revit"/>
    <tableColumn id="5" xr3:uid="{00000000-0010-0000-3000-000005000000}" name="Totais:" totalsRowFunction="sum"/>
  </tableColumns>
  <tableStyleInfo name="TableStyleLight4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Criteria_Summary13.8.5" displayName="Criteria_Summary13.8.5" ref="A7:E9" totalsRowCount="1" totalsRowCellStyle="styleRegular">
  <autoFilter ref="A7:E8" xr:uid="{00000000-0009-0000-0100-000005000000}"/>
  <tableColumns count="5">
    <tableColumn id="1" xr3:uid="{00000000-0010-0000-0400-000001000000}" name="Item"/>
    <tableColumn id="2" xr3:uid="{00000000-0010-0000-0400-000002000000}" name="Tipo"/>
    <tableColumn id="3" xr3:uid="{00000000-0010-0000-0400-000003000000}" name="Elementos" totalsRowFunction="sum"/>
    <tableColumn id="4" xr3:uid="{00000000-0010-0000-0400-000004000000}" name="Nome do Subcritério"/>
    <tableColumn id="5" xr3:uid="{00000000-0010-0000-0400-000005000000}" name="Total" totalsRowFunction="sum"/>
  </tableColumns>
  <tableStyleInfo name="TableStyleLight4" showFirstColumn="0" showLastColumn="0" showRowStripes="1" showColumnStripes="0"/>
</table>
</file>

<file path=xl/tables/table5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0" xr:uid="{00000000-000C-0000-FFFF-FFFF31000000}" name="Elements138162" displayName="Elements138162" ref="A37:E83" totalsRowCount="1" totalsRowCellStyle="styleRegular">
  <autoFilter ref="A37:E82" xr:uid="{00000000-0009-0000-0100-000032000000}"/>
  <tableColumns count="5">
    <tableColumn id="1" xr3:uid="{00000000-0010-0000-3100-000001000000}" name="Projeto"/>
    <tableColumn id="2" xr3:uid="{00000000-0010-0000-3100-000002000000}" name="Vínculo"/>
    <tableColumn id="3" xr3:uid="{00000000-0010-0000-3100-000003000000}" name="Elemento" totalsRowFunction="count"/>
    <tableColumn id="4" xr3:uid="{00000000-0010-0000-3100-000004000000}" name="Id do Revit"/>
    <tableColumn id="5" xr3:uid="{00000000-0010-0000-3100-000005000000}" name="Totais:" totalsRowFunction="sum"/>
  </tableColumns>
  <tableStyleInfo name="TableStyleLight4" showFirstColumn="0" showLastColumn="0" showRowStripes="1" showColumnStripes="0"/>
</table>
</file>

<file path=xl/tables/table5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1" xr:uid="{00000000-000C-0000-FFFF-FFFF32000000}" name="Elements138171" displayName="Elements138171" ref="A6:E29" totalsRowCount="1" totalsRowCellStyle="styleRegular">
  <autoFilter ref="A6:E28" xr:uid="{00000000-0009-0000-0100-000033000000}"/>
  <tableColumns count="5">
    <tableColumn id="1" xr3:uid="{00000000-0010-0000-3200-000001000000}" name="Projeto"/>
    <tableColumn id="2" xr3:uid="{00000000-0010-0000-3200-000002000000}" name="Vínculo"/>
    <tableColumn id="3" xr3:uid="{00000000-0010-0000-3200-000003000000}" name="Elemento" totalsRowFunction="count"/>
    <tableColumn id="4" xr3:uid="{00000000-0010-0000-3200-000004000000}" name="Id do Revit"/>
    <tableColumn id="5" xr3:uid="{00000000-0010-0000-3200-000005000000}" name="Totais:" totalsRowFunction="sum"/>
  </tableColumns>
  <tableStyleInfo name="TableStyleLight4" showFirstColumn="0" showLastColumn="0" showRowStripes="1" showColumnStripes="0"/>
</table>
</file>

<file path=xl/tables/table5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2" xr:uid="{00000000-000C-0000-FFFF-FFFF33000000}" name="Elements138181" displayName="Elements138181" ref="A6:E12" totalsRowCount="1" totalsRowCellStyle="styleRegular">
  <autoFilter ref="A6:E11" xr:uid="{00000000-0009-0000-0100-000034000000}"/>
  <tableColumns count="5">
    <tableColumn id="1" xr3:uid="{00000000-0010-0000-3300-000001000000}" name="Projeto"/>
    <tableColumn id="2" xr3:uid="{00000000-0010-0000-3300-000002000000}" name="Vínculo"/>
    <tableColumn id="3" xr3:uid="{00000000-0010-0000-3300-000003000000}" name="Elemento" totalsRowFunction="count"/>
    <tableColumn id="4" xr3:uid="{00000000-0010-0000-3300-000004000000}" name="Id do Revit"/>
    <tableColumn id="5" xr3:uid="{00000000-0010-0000-3300-000005000000}" name="Totais:" totalsRowFunction="sum"/>
  </tableColumns>
  <tableStyleInfo name="TableStyleLight4" showFirstColumn="0" showLastColumn="0" showRowStripes="1" showColumnStripes="0"/>
</table>
</file>

<file path=xl/tables/table5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3" xr:uid="{00000000-000C-0000-FFFF-FFFF34000000}" name="Elements138191" displayName="Elements138191" ref="A6:E81" totalsRowCount="1" totalsRowCellStyle="styleRegular">
  <autoFilter ref="A6:E80" xr:uid="{00000000-0009-0000-0100-000035000000}"/>
  <tableColumns count="5">
    <tableColumn id="1" xr3:uid="{00000000-0010-0000-3400-000001000000}" name="Projeto"/>
    <tableColumn id="2" xr3:uid="{00000000-0010-0000-3400-000002000000}" name="Vínculo"/>
    <tableColumn id="3" xr3:uid="{00000000-0010-0000-3400-000003000000}" name="Elemento" totalsRowFunction="count"/>
    <tableColumn id="4" xr3:uid="{00000000-0010-0000-3400-000004000000}" name="Id do Revit"/>
    <tableColumn id="5" xr3:uid="{00000000-0010-0000-3400-000005000000}" name="Totais:" totalsRowFunction="sum"/>
  </tableColumns>
  <tableStyleInfo name="TableStyleLight4" showFirstColumn="0" showLastColumn="0" showRowStripes="1" showColumnStripes="0"/>
</table>
</file>

<file path=xl/tables/table5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4" xr:uid="{00000000-000C-0000-FFFF-FFFF35000000}" name="Elements138201" displayName="Elements138201" ref="A6:E54" totalsRowCount="1" totalsRowCellStyle="styleRegular">
  <autoFilter ref="A6:E53" xr:uid="{00000000-0009-0000-0100-000036000000}"/>
  <tableColumns count="5">
    <tableColumn id="1" xr3:uid="{00000000-0010-0000-3500-000001000000}" name="Projeto"/>
    <tableColumn id="2" xr3:uid="{00000000-0010-0000-3500-000002000000}" name="Vínculo"/>
    <tableColumn id="3" xr3:uid="{00000000-0010-0000-3500-000003000000}" name="Elemento" totalsRowFunction="count"/>
    <tableColumn id="4" xr3:uid="{00000000-0010-0000-3500-000004000000}" name="Id do Revit"/>
    <tableColumn id="5" xr3:uid="{00000000-0010-0000-3500-000005000000}" name="Totais:" totalsRowFunction="sum"/>
  </tableColumns>
  <tableStyleInfo name="TableStyleLight4" showFirstColumn="0" showLastColumn="0" showRowStripes="1" showColumnStripes="0"/>
</table>
</file>

<file path=xl/tables/table5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5" xr:uid="{00000000-000C-0000-FFFF-FFFF36000000}" name="Elements138211" displayName="Elements138211" ref="A6:E9" totalsRowCount="1" totalsRowCellStyle="styleRegular">
  <autoFilter ref="A6:E8" xr:uid="{00000000-0009-0000-0100-000037000000}"/>
  <tableColumns count="5">
    <tableColumn id="1" xr3:uid="{00000000-0010-0000-3600-000001000000}" name="Projeto"/>
    <tableColumn id="2" xr3:uid="{00000000-0010-0000-3600-000002000000}" name="Vínculo"/>
    <tableColumn id="3" xr3:uid="{00000000-0010-0000-3600-000003000000}" name="Elemento" totalsRowFunction="count"/>
    <tableColumn id="4" xr3:uid="{00000000-0010-0000-3600-000004000000}" name="Id do Revit"/>
    <tableColumn id="5" xr3:uid="{00000000-0010-0000-3600-000005000000}" name="Totais:" totalsRowFunction="sum"/>
  </tableColumns>
  <tableStyleInfo name="TableStyleLight4" showFirstColumn="0" showLastColumn="0" showRowStripes="1" showColumnStripes="0"/>
</table>
</file>

<file path=xl/tables/table5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6" xr:uid="{00000000-000C-0000-FFFF-FFFF37000000}" name="Elements138221" displayName="Elements138221" ref="A6:E9" totalsRowCount="1" totalsRowCellStyle="styleRegular">
  <autoFilter ref="A6:E8" xr:uid="{00000000-0009-0000-0100-000038000000}"/>
  <tableColumns count="5">
    <tableColumn id="1" xr3:uid="{00000000-0010-0000-3700-000001000000}" name="Projeto"/>
    <tableColumn id="2" xr3:uid="{00000000-0010-0000-3700-000002000000}" name="Vínculo"/>
    <tableColumn id="3" xr3:uid="{00000000-0010-0000-3700-000003000000}" name="Elemento" totalsRowFunction="count"/>
    <tableColumn id="4" xr3:uid="{00000000-0010-0000-3700-000004000000}" name="Id do Revit"/>
    <tableColumn id="5" xr3:uid="{00000000-0010-0000-3700-000005000000}" name="Totais:" totalsRowFunction="sum"/>
  </tableColumns>
  <tableStyleInfo name="TableStyleLight4" showFirstColumn="0" showLastColumn="0" showRowStripes="1" showColumnStripes="0"/>
</table>
</file>

<file path=xl/tables/table5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7" xr:uid="{00000000-000C-0000-FFFF-FFFF38000000}" name="Elements138231" displayName="Elements138231" ref="A6:E9" totalsRowCount="1" totalsRowCellStyle="styleRegular">
  <autoFilter ref="A6:E8" xr:uid="{00000000-0009-0000-0100-000039000000}"/>
  <tableColumns count="5">
    <tableColumn id="1" xr3:uid="{00000000-0010-0000-3800-000001000000}" name="Projeto"/>
    <tableColumn id="2" xr3:uid="{00000000-0010-0000-3800-000002000000}" name="Vínculo"/>
    <tableColumn id="3" xr3:uid="{00000000-0010-0000-3800-000003000000}" name="Elemento" totalsRowFunction="count"/>
    <tableColumn id="4" xr3:uid="{00000000-0010-0000-3800-000004000000}" name="Id do Revit"/>
    <tableColumn id="5" xr3:uid="{00000000-0010-0000-3800-000005000000}" name="Totais:" totalsRowFunction="sum"/>
  </tableColumns>
  <tableStyleInfo name="TableStyleLight4" showFirstColumn="0" showLastColumn="0" showRowStripes="1" showColumnStripes="0"/>
</table>
</file>

<file path=xl/tables/table5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8" xr:uid="{00000000-000C-0000-FFFF-FFFF39000000}" name="Elements138241" displayName="Elements138241" ref="A6:E9" totalsRowCount="1" totalsRowCellStyle="styleRegular">
  <autoFilter ref="A6:E8" xr:uid="{00000000-0009-0000-0100-00003A000000}"/>
  <tableColumns count="5">
    <tableColumn id="1" xr3:uid="{00000000-0010-0000-3900-000001000000}" name="Projeto"/>
    <tableColumn id="2" xr3:uid="{00000000-0010-0000-3900-000002000000}" name="Vínculo"/>
    <tableColumn id="3" xr3:uid="{00000000-0010-0000-3900-000003000000}" name="Elemento" totalsRowFunction="count"/>
    <tableColumn id="4" xr3:uid="{00000000-0010-0000-3900-000004000000}" name="Id do Revit"/>
    <tableColumn id="5" xr3:uid="{00000000-0010-0000-3900-000005000000}" name="Totais:" totalsRowFunction="sum"/>
  </tableColumns>
  <tableStyleInfo name="TableStyleLight4" showFirstColumn="0" showLastColumn="0" showRowStripes="1" showColumnStripes="0"/>
</table>
</file>

<file path=xl/tables/table5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9" xr:uid="{00000000-000C-0000-FFFF-FFFF3A000000}" name="Elements138251" displayName="Elements138251" ref="A6:E11" totalsRowCount="1" totalsRowCellStyle="styleRegular">
  <autoFilter ref="A6:E10" xr:uid="{00000000-0009-0000-0100-00003B000000}"/>
  <tableColumns count="5">
    <tableColumn id="1" xr3:uid="{00000000-0010-0000-3A00-000001000000}" name="Projeto"/>
    <tableColumn id="2" xr3:uid="{00000000-0010-0000-3A00-000002000000}" name="Vínculo"/>
    <tableColumn id="3" xr3:uid="{00000000-0010-0000-3A00-000003000000}" name="Elemento" totalsRowFunction="count"/>
    <tableColumn id="4" xr3:uid="{00000000-0010-0000-3A00-000004000000}" name="Id do Revit"/>
    <tableColumn id="5" xr3:uid="{00000000-0010-0000-3A00-000005000000}" name="Totais:" totalsRowFunction="sum"/>
  </tableColumns>
  <tableStyleInfo name="TableStyleLight4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Criteria_Summary13.8.6" displayName="Criteria_Summary13.8.6" ref="A7:E9" totalsRowCount="1" totalsRowCellStyle="styleRegular">
  <autoFilter ref="A7:E8" xr:uid="{00000000-0009-0000-0100-000006000000}"/>
  <tableColumns count="5">
    <tableColumn id="1" xr3:uid="{00000000-0010-0000-0500-000001000000}" name="Item"/>
    <tableColumn id="2" xr3:uid="{00000000-0010-0000-0500-000002000000}" name="Tipo"/>
    <tableColumn id="3" xr3:uid="{00000000-0010-0000-0500-000003000000}" name="Elementos" totalsRowFunction="sum"/>
    <tableColumn id="4" xr3:uid="{00000000-0010-0000-0500-000004000000}" name="Nome do Subcritério"/>
    <tableColumn id="5" xr3:uid="{00000000-0010-0000-0500-000005000000}" name="Total" totalsRowFunction="sum"/>
  </tableColumns>
  <tableStyleInfo name="TableStyleLight4" showFirstColumn="0" showLastColumn="0" showRowStripes="1" showColumnStripes="0"/>
</table>
</file>

<file path=xl/tables/table6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0" xr:uid="{00000000-000C-0000-FFFF-FFFF3B000000}" name="Elements138261" displayName="Elements138261" ref="A6:E11" totalsRowCount="1" totalsRowCellStyle="styleRegular">
  <autoFilter ref="A6:E10" xr:uid="{00000000-0009-0000-0100-00003C000000}"/>
  <tableColumns count="5">
    <tableColumn id="1" xr3:uid="{00000000-0010-0000-3B00-000001000000}" name="Projeto"/>
    <tableColumn id="2" xr3:uid="{00000000-0010-0000-3B00-000002000000}" name="Vínculo"/>
    <tableColumn id="3" xr3:uid="{00000000-0010-0000-3B00-000003000000}" name="Elemento" totalsRowFunction="count"/>
    <tableColumn id="4" xr3:uid="{00000000-0010-0000-3B00-000004000000}" name="Id do Revit"/>
    <tableColumn id="5" xr3:uid="{00000000-0010-0000-3B00-000005000000}" name="Totais:" totalsRowFunction="sum"/>
  </tableColumns>
  <tableStyleInfo name="TableStyleLight4" showFirstColumn="0" showLastColumn="0" showRowStripes="1" showColumnStripes="0"/>
</table>
</file>

<file path=xl/tables/table6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1" xr:uid="{00000000-000C-0000-FFFF-FFFF3C000000}" name="Elements138271" displayName="Elements138271" ref="A6:E15" totalsRowCount="1" totalsRowCellStyle="styleRegular">
  <autoFilter ref="A6:E14" xr:uid="{00000000-0009-0000-0100-00003D000000}"/>
  <tableColumns count="5">
    <tableColumn id="1" xr3:uid="{00000000-0010-0000-3C00-000001000000}" name="Projeto"/>
    <tableColumn id="2" xr3:uid="{00000000-0010-0000-3C00-000002000000}" name="Vínculo"/>
    <tableColumn id="3" xr3:uid="{00000000-0010-0000-3C00-000003000000}" name="Elemento" totalsRowFunction="count"/>
    <tableColumn id="4" xr3:uid="{00000000-0010-0000-3C00-000004000000}" name="Id do Revit"/>
    <tableColumn id="5" xr3:uid="{00000000-0010-0000-3C00-000005000000}" name="Totais:" totalsRowFunction="sum"/>
  </tableColumns>
  <tableStyleInfo name="TableStyleLight4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Criteria_Summary13.8.7" displayName="Criteria_Summary13.8.7" ref="A7:E9" totalsRowCount="1" totalsRowCellStyle="styleRegular">
  <autoFilter ref="A7:E8" xr:uid="{00000000-0009-0000-0100-000007000000}"/>
  <tableColumns count="5">
    <tableColumn id="1" xr3:uid="{00000000-0010-0000-0600-000001000000}" name="Item"/>
    <tableColumn id="2" xr3:uid="{00000000-0010-0000-0600-000002000000}" name="Tipo"/>
    <tableColumn id="3" xr3:uid="{00000000-0010-0000-0600-000003000000}" name="Elementos" totalsRowFunction="sum"/>
    <tableColumn id="4" xr3:uid="{00000000-0010-0000-0600-000004000000}" name="Nome do Subcritério"/>
    <tableColumn id="5" xr3:uid="{00000000-0010-0000-0600-000005000000}" name="Total" totalsRowFunction="sum"/>
  </tableColumns>
  <tableStyleInfo name="TableStyleLight4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Criteria_Summary13.8.8" displayName="Criteria_Summary13.8.8" ref="A7:E10" totalsRowCount="1" totalsRowCellStyle="styleRegular">
  <autoFilter ref="A7:E9" xr:uid="{00000000-0009-0000-0100-000008000000}"/>
  <tableColumns count="5">
    <tableColumn id="1" xr3:uid="{00000000-0010-0000-0700-000001000000}" name="Item"/>
    <tableColumn id="2" xr3:uid="{00000000-0010-0000-0700-000002000000}" name="Tipo"/>
    <tableColumn id="3" xr3:uid="{00000000-0010-0000-0700-000003000000}" name="Elementos" totalsRowFunction="sum"/>
    <tableColumn id="4" xr3:uid="{00000000-0010-0000-0700-000004000000}" name="Nome do Subcritério"/>
    <tableColumn id="5" xr3:uid="{00000000-0010-0000-0700-000005000000}" name="Total" totalsRowFunction="sum"/>
  </tableColumns>
  <tableStyleInfo name="TableStyleLight4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Criteria_Summary13.8.9" displayName="Criteria_Summary13.8.9" ref="A7:E9" totalsRowCount="1" totalsRowCellStyle="styleRegular">
  <autoFilter ref="A7:E8" xr:uid="{00000000-0009-0000-0100-000009000000}"/>
  <tableColumns count="5">
    <tableColumn id="1" xr3:uid="{00000000-0010-0000-0800-000001000000}" name="Item"/>
    <tableColumn id="2" xr3:uid="{00000000-0010-0000-0800-000002000000}" name="Tipo"/>
    <tableColumn id="3" xr3:uid="{00000000-0010-0000-0800-000003000000}" name="Elementos" totalsRowFunction="sum"/>
    <tableColumn id="4" xr3:uid="{00000000-0010-0000-0800-000004000000}" name="Nome do Subcritério"/>
    <tableColumn id="5" xr3:uid="{00000000-0010-0000-0800-000005000000}" name="Total" totalsRowFunction="sum"/>
  </tableColumns>
  <tableStyleInfo name="TableStyleLight4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1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2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3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4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5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6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7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8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9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0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1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2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3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4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5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6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7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8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9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0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1.xml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2.xml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3.xml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4.xml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6.xml"/><Relationship Id="rId1" Type="http://schemas.openxmlformats.org/officeDocument/2006/relationships/table" Target="../tables/table35.xml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7.xml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9.xml"/><Relationship Id="rId1" Type="http://schemas.openxmlformats.org/officeDocument/2006/relationships/table" Target="../tables/table38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0.xml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1.xml"/></Relationships>
</file>

<file path=xl/worksheets/_rels/sheet4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4.xml"/><Relationship Id="rId2" Type="http://schemas.openxmlformats.org/officeDocument/2006/relationships/table" Target="../tables/table43.xml"/><Relationship Id="rId1" Type="http://schemas.openxmlformats.org/officeDocument/2006/relationships/table" Target="../tables/table42.xml"/><Relationship Id="rId4" Type="http://schemas.openxmlformats.org/officeDocument/2006/relationships/table" Target="../tables/table45.xml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7.xml"/><Relationship Id="rId1" Type="http://schemas.openxmlformats.org/officeDocument/2006/relationships/table" Target="../tables/table46.xml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8.xml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0.xml"/><Relationship Id="rId1" Type="http://schemas.openxmlformats.org/officeDocument/2006/relationships/table" Target="../tables/table49.xml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1.xml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2.xml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3.xml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5.xml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6.xml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7.xml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8.xml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9.xml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0.xml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3"/>
  <sheetViews>
    <sheetView showGridLines="0" tabSelected="1" workbookViewId="0">
      <selection activeCell="D6" sqref="D6"/>
    </sheetView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15" t="s">
        <v>0</v>
      </c>
      <c r="B1" s="15" t="s">
        <v>0</v>
      </c>
      <c r="C1" s="15" t="s">
        <v>0</v>
      </c>
      <c r="D1" s="15" t="s">
        <v>0</v>
      </c>
      <c r="E1" s="15" t="s">
        <v>0</v>
      </c>
      <c r="F1" s="15" t="s">
        <v>0</v>
      </c>
      <c r="G1" s="15" t="s">
        <v>0</v>
      </c>
      <c r="H1" s="15" t="s">
        <v>0</v>
      </c>
      <c r="I1" s="15" t="s">
        <v>0</v>
      </c>
    </row>
    <row r="2" spans="1:9">
      <c r="A2" s="15" t="s">
        <v>0</v>
      </c>
      <c r="B2" s="15" t="s">
        <v>0</v>
      </c>
      <c r="C2" s="15" t="s">
        <v>0</v>
      </c>
      <c r="D2" s="15" t="s">
        <v>0</v>
      </c>
      <c r="E2" s="15" t="s">
        <v>0</v>
      </c>
      <c r="F2" s="15" t="s">
        <v>0</v>
      </c>
      <c r="G2" s="15" t="s">
        <v>0</v>
      </c>
      <c r="H2" s="15" t="s">
        <v>0</v>
      </c>
      <c r="I2" s="15" t="s">
        <v>0</v>
      </c>
    </row>
    <row r="4" spans="1:9">
      <c r="A4" s="3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3" t="s">
        <v>7</v>
      </c>
      <c r="H4" s="3" t="s">
        <v>8</v>
      </c>
      <c r="I4" s="3" t="s">
        <v>9</v>
      </c>
    </row>
    <row r="5" spans="1:9">
      <c r="A5" s="4" t="s">
        <v>10</v>
      </c>
      <c r="B5" s="5"/>
      <c r="C5" s="5"/>
      <c r="D5" s="4" t="s">
        <v>11</v>
      </c>
      <c r="E5" s="5"/>
      <c r="F5" s="4">
        <v>1</v>
      </c>
      <c r="G5" s="5"/>
      <c r="H5" s="5"/>
      <c r="I5" s="4">
        <v>164921.16214384997</v>
      </c>
    </row>
    <row r="6" spans="1:9" ht="24.75">
      <c r="A6" s="6" t="s">
        <v>12</v>
      </c>
      <c r="B6" s="6" t="s">
        <v>1103</v>
      </c>
      <c r="C6" s="6" t="s">
        <v>13</v>
      </c>
      <c r="D6" s="6" t="s">
        <v>1102</v>
      </c>
      <c r="E6" s="6" t="s">
        <v>15</v>
      </c>
      <c r="F6" s="7" t="s">
        <v>16</v>
      </c>
      <c r="G6" s="6">
        <v>86.534430799999996</v>
      </c>
      <c r="H6" s="6">
        <v>103.71151531380001</v>
      </c>
      <c r="I6" s="6">
        <v>7117.7212959860944</v>
      </c>
    </row>
    <row r="7" spans="1:9" ht="24.75">
      <c r="A7" s="6" t="s">
        <v>17</v>
      </c>
      <c r="B7" s="6" t="s">
        <v>18</v>
      </c>
      <c r="C7" s="6" t="s">
        <v>13</v>
      </c>
      <c r="D7" s="6" t="s">
        <v>19</v>
      </c>
      <c r="E7" s="6" t="s">
        <v>15</v>
      </c>
      <c r="F7" s="7" t="s">
        <v>20</v>
      </c>
      <c r="G7" s="6">
        <v>95.594899999999996</v>
      </c>
      <c r="H7" s="6">
        <v>114.57048765</v>
      </c>
      <c r="I7" s="6">
        <v>7378.3394046600006</v>
      </c>
    </row>
    <row r="8" spans="1:9">
      <c r="A8" s="6" t="s">
        <v>21</v>
      </c>
      <c r="B8" s="6" t="s">
        <v>22</v>
      </c>
      <c r="C8" s="6" t="s">
        <v>23</v>
      </c>
      <c r="D8" s="6" t="s">
        <v>24</v>
      </c>
      <c r="E8" s="6" t="s">
        <v>15</v>
      </c>
      <c r="F8" s="7" t="s">
        <v>25</v>
      </c>
      <c r="G8" s="6">
        <v>20.127649000000002</v>
      </c>
      <c r="H8" s="6">
        <v>24.122987326500006</v>
      </c>
      <c r="I8" s="6">
        <v>2090.7393115877558</v>
      </c>
    </row>
    <row r="9" spans="1:9" ht="24.75">
      <c r="A9" s="6" t="s">
        <v>26</v>
      </c>
      <c r="B9" s="6" t="s">
        <v>27</v>
      </c>
      <c r="C9" s="6" t="s">
        <v>13</v>
      </c>
      <c r="D9" s="6" t="s">
        <v>28</v>
      </c>
      <c r="E9" s="6" t="s">
        <v>15</v>
      </c>
      <c r="F9" s="7" t="s">
        <v>29</v>
      </c>
      <c r="G9" s="6">
        <v>8.5682460000000003</v>
      </c>
      <c r="H9" s="6">
        <v>10.269042831000002</v>
      </c>
      <c r="I9" s="6">
        <v>1458.9229150001702</v>
      </c>
    </row>
    <row r="10" spans="1:9">
      <c r="A10" s="8" t="s">
        <v>30</v>
      </c>
      <c r="B10" s="8" t="s">
        <v>31</v>
      </c>
      <c r="C10" s="8" t="s">
        <v>32</v>
      </c>
      <c r="D10" s="8" t="s">
        <v>33</v>
      </c>
      <c r="E10" s="8" t="s">
        <v>15</v>
      </c>
      <c r="F10" s="9" t="s">
        <v>34</v>
      </c>
      <c r="G10" s="8">
        <v>11.84</v>
      </c>
      <c r="H10" s="8">
        <v>14.190240000000001</v>
      </c>
      <c r="I10" s="8">
        <v>59.173300800000007</v>
      </c>
    </row>
    <row r="11" spans="1:9">
      <c r="A11" s="8" t="s">
        <v>35</v>
      </c>
      <c r="B11" s="8" t="s">
        <v>36</v>
      </c>
      <c r="C11" s="8" t="s">
        <v>32</v>
      </c>
      <c r="D11" s="8" t="s">
        <v>37</v>
      </c>
      <c r="E11" s="8" t="s">
        <v>15</v>
      </c>
      <c r="F11" s="9" t="s">
        <v>38</v>
      </c>
      <c r="G11" s="8">
        <v>15.52</v>
      </c>
      <c r="H11" s="8">
        <v>18.600720000000003</v>
      </c>
      <c r="I11" s="8">
        <v>331.27882320000003</v>
      </c>
    </row>
    <row r="12" spans="1:9">
      <c r="A12" s="8" t="s">
        <v>39</v>
      </c>
      <c r="B12" s="8" t="s">
        <v>40</v>
      </c>
      <c r="C12" s="8" t="s">
        <v>23</v>
      </c>
      <c r="D12" s="8" t="s">
        <v>41</v>
      </c>
      <c r="E12" s="8" t="s">
        <v>42</v>
      </c>
      <c r="F12" s="9" t="s">
        <v>43</v>
      </c>
      <c r="G12" s="8">
        <v>53.09</v>
      </c>
      <c r="H12" s="8">
        <v>63.628365000000009</v>
      </c>
      <c r="I12" s="8">
        <v>63.628365000000009</v>
      </c>
    </row>
    <row r="13" spans="1:9">
      <c r="A13" s="8" t="s">
        <v>44</v>
      </c>
      <c r="B13" s="8" t="s">
        <v>45</v>
      </c>
      <c r="C13" s="8" t="s">
        <v>32</v>
      </c>
      <c r="D13" s="8" t="s">
        <v>46</v>
      </c>
      <c r="E13" s="8" t="s">
        <v>42</v>
      </c>
      <c r="F13" s="9" t="s">
        <v>47</v>
      </c>
      <c r="G13" s="8">
        <v>1.98</v>
      </c>
      <c r="H13" s="8">
        <v>2.3730300000000004</v>
      </c>
      <c r="I13" s="8">
        <v>61.698780000000014</v>
      </c>
    </row>
    <row r="14" spans="1:9" ht="24.75">
      <c r="A14" s="6" t="s">
        <v>48</v>
      </c>
      <c r="B14" s="6" t="s">
        <v>49</v>
      </c>
      <c r="C14" s="6" t="s">
        <v>13</v>
      </c>
      <c r="D14" s="6" t="s">
        <v>50</v>
      </c>
      <c r="E14" s="6" t="s">
        <v>15</v>
      </c>
      <c r="F14" s="7" t="s">
        <v>51</v>
      </c>
      <c r="G14" s="6">
        <v>10.902962</v>
      </c>
      <c r="H14" s="6">
        <v>13.067199957000001</v>
      </c>
      <c r="I14" s="6">
        <v>4762.8637123269309</v>
      </c>
    </row>
    <row r="15" spans="1:9" ht="24.75">
      <c r="A15" s="6" t="s">
        <v>52</v>
      </c>
      <c r="B15" s="6" t="s">
        <v>53</v>
      </c>
      <c r="C15" s="6" t="s">
        <v>13</v>
      </c>
      <c r="D15" s="6" t="s">
        <v>54</v>
      </c>
      <c r="E15" s="6" t="s">
        <v>42</v>
      </c>
      <c r="F15" s="7" t="s">
        <v>55</v>
      </c>
      <c r="G15" s="6">
        <v>196.80355</v>
      </c>
      <c r="H15" s="6">
        <v>235.86905467500003</v>
      </c>
      <c r="I15" s="6">
        <v>2594.5596014250004</v>
      </c>
    </row>
    <row r="16" spans="1:9">
      <c r="A16" s="8" t="s">
        <v>56</v>
      </c>
      <c r="B16" s="8" t="s">
        <v>57</v>
      </c>
      <c r="C16" s="8" t="s">
        <v>32</v>
      </c>
      <c r="D16" s="8" t="s">
        <v>58</v>
      </c>
      <c r="E16" s="8" t="s">
        <v>42</v>
      </c>
      <c r="F16" s="9" t="s">
        <v>59</v>
      </c>
      <c r="G16" s="8">
        <v>22.42</v>
      </c>
      <c r="H16" s="8">
        <v>26.870370000000005</v>
      </c>
      <c r="I16" s="8">
        <v>3170.7036600000006</v>
      </c>
    </row>
    <row r="17" spans="1:9" ht="36.75">
      <c r="A17" s="6" t="s">
        <v>60</v>
      </c>
      <c r="B17" s="6" t="s">
        <v>61</v>
      </c>
      <c r="C17" s="6" t="s">
        <v>13</v>
      </c>
      <c r="D17" s="6" t="s">
        <v>62</v>
      </c>
      <c r="E17" s="6" t="s">
        <v>15</v>
      </c>
      <c r="F17" s="7" t="s">
        <v>63</v>
      </c>
      <c r="G17" s="6">
        <v>37.528506</v>
      </c>
      <c r="H17" s="6">
        <v>44.977914441000003</v>
      </c>
      <c r="I17" s="6">
        <v>788.91261929513996</v>
      </c>
    </row>
    <row r="18" spans="1:9">
      <c r="A18" s="6" t="s">
        <v>64</v>
      </c>
      <c r="B18" s="6" t="s">
        <v>65</v>
      </c>
      <c r="C18" s="6" t="s">
        <v>13</v>
      </c>
      <c r="D18" s="6" t="s">
        <v>66</v>
      </c>
      <c r="E18" s="6" t="s">
        <v>42</v>
      </c>
      <c r="F18" s="7" t="s">
        <v>67</v>
      </c>
      <c r="G18" s="6">
        <v>10.166396000000001</v>
      </c>
      <c r="H18" s="6">
        <v>12.184425606000001</v>
      </c>
      <c r="I18" s="6">
        <v>1486.4999239320002</v>
      </c>
    </row>
    <row r="19" spans="1:9">
      <c r="A19" s="8" t="s">
        <v>68</v>
      </c>
      <c r="B19" s="8" t="s">
        <v>69</v>
      </c>
      <c r="C19" s="8" t="s">
        <v>32</v>
      </c>
      <c r="D19" s="8" t="s">
        <v>70</v>
      </c>
      <c r="E19" s="8" t="s">
        <v>15</v>
      </c>
      <c r="F19" s="9" t="s">
        <v>71</v>
      </c>
      <c r="G19" s="8">
        <v>7.09</v>
      </c>
      <c r="H19" s="8">
        <v>8.4973650000000003</v>
      </c>
      <c r="I19" s="8">
        <v>46293.474572699997</v>
      </c>
    </row>
    <row r="20" spans="1:9">
      <c r="A20" s="6" t="s">
        <v>72</v>
      </c>
      <c r="B20" s="6" t="s">
        <v>73</v>
      </c>
      <c r="C20" s="6" t="s">
        <v>32</v>
      </c>
      <c r="D20" s="6" t="s">
        <v>74</v>
      </c>
      <c r="E20" s="6" t="s">
        <v>42</v>
      </c>
      <c r="F20" s="7" t="s">
        <v>43</v>
      </c>
      <c r="G20" s="6">
        <v>34.289845432</v>
      </c>
      <c r="H20" s="6">
        <v>41.096379750252005</v>
      </c>
      <c r="I20" s="6">
        <v>41.096379750252005</v>
      </c>
    </row>
    <row r="21" spans="1:9">
      <c r="A21" s="6" t="s">
        <v>75</v>
      </c>
      <c r="B21" s="6" t="s">
        <v>76</v>
      </c>
      <c r="C21" s="6" t="s">
        <v>13</v>
      </c>
      <c r="D21" s="6" t="s">
        <v>77</v>
      </c>
      <c r="E21" s="6" t="s">
        <v>42</v>
      </c>
      <c r="F21" s="7" t="s">
        <v>78</v>
      </c>
      <c r="G21" s="6">
        <v>24.811520000000002</v>
      </c>
      <c r="H21" s="6">
        <v>29.736606720000005</v>
      </c>
      <c r="I21" s="6">
        <v>1992.3526502400002</v>
      </c>
    </row>
    <row r="22" spans="1:9">
      <c r="A22" s="8" t="s">
        <v>79</v>
      </c>
      <c r="B22" s="8" t="s">
        <v>80</v>
      </c>
      <c r="C22" s="8" t="s">
        <v>32</v>
      </c>
      <c r="D22" s="8" t="s">
        <v>81</v>
      </c>
      <c r="E22" s="8" t="s">
        <v>42</v>
      </c>
      <c r="F22" s="9" t="s">
        <v>82</v>
      </c>
      <c r="G22" s="8">
        <v>1.94</v>
      </c>
      <c r="H22" s="8">
        <v>2.3250900000000003</v>
      </c>
      <c r="I22" s="8">
        <v>51.151980000000009</v>
      </c>
    </row>
    <row r="23" spans="1:9">
      <c r="A23" s="8" t="s">
        <v>83</v>
      </c>
      <c r="B23" s="8" t="s">
        <v>84</v>
      </c>
      <c r="C23" s="8" t="s">
        <v>85</v>
      </c>
      <c r="D23" s="8" t="s">
        <v>86</v>
      </c>
      <c r="E23" s="8" t="s">
        <v>42</v>
      </c>
      <c r="F23" s="9" t="s">
        <v>87</v>
      </c>
      <c r="G23" s="8">
        <v>1219.1500000000001</v>
      </c>
      <c r="H23" s="8">
        <v>1461.1512750000002</v>
      </c>
      <c r="I23" s="8">
        <v>7305.7563750000008</v>
      </c>
    </row>
    <row r="24" spans="1:9">
      <c r="A24" s="8" t="s">
        <v>88</v>
      </c>
      <c r="B24" s="8" t="s">
        <v>89</v>
      </c>
      <c r="C24" s="8" t="s">
        <v>32</v>
      </c>
      <c r="D24" s="8" t="s">
        <v>90</v>
      </c>
      <c r="E24" s="8" t="s">
        <v>42</v>
      </c>
      <c r="F24" s="9" t="s">
        <v>91</v>
      </c>
      <c r="G24" s="8">
        <v>1.87</v>
      </c>
      <c r="H24" s="8">
        <v>2.2411950000000003</v>
      </c>
      <c r="I24" s="8">
        <v>165.84843000000001</v>
      </c>
    </row>
    <row r="25" spans="1:9" ht="36.75">
      <c r="A25" s="8" t="s">
        <v>92</v>
      </c>
      <c r="B25" s="8" t="s">
        <v>93</v>
      </c>
      <c r="C25" s="8" t="s">
        <v>85</v>
      </c>
      <c r="D25" s="8" t="s">
        <v>94</v>
      </c>
      <c r="E25" s="8" t="s">
        <v>42</v>
      </c>
      <c r="F25" s="9" t="s">
        <v>95</v>
      </c>
      <c r="G25" s="8">
        <v>225.86</v>
      </c>
      <c r="H25" s="8">
        <v>270.69321000000002</v>
      </c>
      <c r="I25" s="8">
        <v>12722.580870000002</v>
      </c>
    </row>
    <row r="26" spans="1:9" ht="24.75">
      <c r="A26" s="8" t="s">
        <v>96</v>
      </c>
      <c r="B26" s="8" t="s">
        <v>97</v>
      </c>
      <c r="C26" s="8" t="s">
        <v>85</v>
      </c>
      <c r="D26" s="8" t="s">
        <v>98</v>
      </c>
      <c r="E26" s="8" t="s">
        <v>42</v>
      </c>
      <c r="F26" s="9" t="s">
        <v>99</v>
      </c>
      <c r="G26" s="8">
        <v>124.74</v>
      </c>
      <c r="H26" s="8">
        <v>149.50089</v>
      </c>
      <c r="I26" s="8">
        <v>299.00178</v>
      </c>
    </row>
    <row r="27" spans="1:9">
      <c r="A27" s="6" t="s">
        <v>100</v>
      </c>
      <c r="B27" s="6" t="s">
        <v>101</v>
      </c>
      <c r="C27" s="6" t="s">
        <v>32</v>
      </c>
      <c r="D27" s="6" t="s">
        <v>102</v>
      </c>
      <c r="E27" s="6" t="s">
        <v>42</v>
      </c>
      <c r="F27" s="7" t="s">
        <v>99</v>
      </c>
      <c r="G27" s="6">
        <v>2749.5949232497601</v>
      </c>
      <c r="H27" s="6">
        <v>3295.389515514838</v>
      </c>
      <c r="I27" s="6">
        <v>6590.7790310296759</v>
      </c>
    </row>
    <row r="28" spans="1:9" ht="36.75">
      <c r="A28" s="8" t="s">
        <v>103</v>
      </c>
      <c r="B28" s="8" t="s">
        <v>104</v>
      </c>
      <c r="C28" s="8" t="s">
        <v>85</v>
      </c>
      <c r="D28" s="8" t="s">
        <v>105</v>
      </c>
      <c r="E28" s="8" t="s">
        <v>42</v>
      </c>
      <c r="F28" s="9" t="s">
        <v>99</v>
      </c>
      <c r="G28" s="8">
        <v>290.79000000000002</v>
      </c>
      <c r="H28" s="8">
        <v>348.51181500000007</v>
      </c>
      <c r="I28" s="8">
        <v>697.02363000000014</v>
      </c>
    </row>
    <row r="29" spans="1:9" ht="24.75">
      <c r="A29" s="8" t="s">
        <v>106</v>
      </c>
      <c r="B29" s="8" t="s">
        <v>107</v>
      </c>
      <c r="C29" s="8" t="s">
        <v>85</v>
      </c>
      <c r="D29" s="8" t="s">
        <v>108</v>
      </c>
      <c r="E29" s="8" t="s">
        <v>42</v>
      </c>
      <c r="F29" s="9" t="s">
        <v>99</v>
      </c>
      <c r="G29" s="8">
        <v>3911.75</v>
      </c>
      <c r="H29" s="8">
        <v>4688.2323750000005</v>
      </c>
      <c r="I29" s="8">
        <v>9376.464750000001</v>
      </c>
    </row>
    <row r="30" spans="1:9" ht="36.75">
      <c r="A30" s="8" t="s">
        <v>109</v>
      </c>
      <c r="B30" s="8" t="s">
        <v>110</v>
      </c>
      <c r="C30" s="8" t="s">
        <v>85</v>
      </c>
      <c r="D30" s="8" t="s">
        <v>111</v>
      </c>
      <c r="E30" s="8" t="s">
        <v>42</v>
      </c>
      <c r="F30" s="9" t="s">
        <v>112</v>
      </c>
      <c r="G30" s="8">
        <v>3327.43</v>
      </c>
      <c r="H30" s="8">
        <v>3987.9248550000002</v>
      </c>
      <c r="I30" s="8">
        <v>15951.699420000001</v>
      </c>
    </row>
    <row r="31" spans="1:9">
      <c r="A31" s="6" t="s">
        <v>113</v>
      </c>
      <c r="B31" s="6" t="s">
        <v>114</v>
      </c>
      <c r="C31" s="6" t="s">
        <v>32</v>
      </c>
      <c r="D31" s="6" t="s">
        <v>115</v>
      </c>
      <c r="E31" s="6" t="s">
        <v>42</v>
      </c>
      <c r="F31" s="7" t="s">
        <v>112</v>
      </c>
      <c r="G31" s="6">
        <v>3973.3605928070401</v>
      </c>
      <c r="H31" s="6">
        <v>4762.0726704792378</v>
      </c>
      <c r="I31" s="6">
        <v>19048.290681916951</v>
      </c>
    </row>
    <row r="32" spans="1:9">
      <c r="A32" s="8" t="s">
        <v>116</v>
      </c>
      <c r="B32" s="8" t="s">
        <v>117</v>
      </c>
      <c r="C32" s="8" t="s">
        <v>23</v>
      </c>
      <c r="D32" s="8" t="s">
        <v>118</v>
      </c>
      <c r="E32" s="8" t="s">
        <v>42</v>
      </c>
      <c r="F32" s="9" t="s">
        <v>119</v>
      </c>
      <c r="G32" s="8">
        <v>1358.01</v>
      </c>
      <c r="H32" s="8">
        <v>1627.5749850000002</v>
      </c>
      <c r="I32" s="8">
        <v>13020.599880000002</v>
      </c>
    </row>
    <row r="33" spans="9:9">
      <c r="I33" s="2">
        <v>164921.16214384997</v>
      </c>
    </row>
  </sheetData>
  <mergeCells count="1">
    <mergeCell ref="A1:I2"/>
  </mergeCells>
  <hyperlinks>
    <hyperlink ref="A5" location="'13.8'!A1" display="13.8" xr:uid="{00000000-0004-0000-0000-000000000000}"/>
    <hyperlink ref="A6" location="'13.8.1'!A1" display="13.8.1" xr:uid="{00000000-0004-0000-0000-000001000000}"/>
    <hyperlink ref="F6" location="'13.8.1E'!A1" display="68,63" xr:uid="{00000000-0004-0000-0000-000002000000}"/>
    <hyperlink ref="A7" location="'13.8.2'!A1" display="13.8.2" xr:uid="{00000000-0004-0000-0000-000003000000}"/>
    <hyperlink ref="F7" location="'13.8.2E'!A1" display="64,40" xr:uid="{00000000-0004-0000-0000-000004000000}"/>
    <hyperlink ref="A8" location="'13.8.3'!A1" display="13.8.3" xr:uid="{00000000-0004-0000-0000-000005000000}"/>
    <hyperlink ref="F8" location="'13.8.3E'!A1" display="86,67" xr:uid="{00000000-0004-0000-0000-000006000000}"/>
    <hyperlink ref="A9" location="'13.8.4'!A1" display="13.8.4" xr:uid="{00000000-0004-0000-0000-000007000000}"/>
    <hyperlink ref="F9" location="'13.8.4E'!A1" display="142,07" xr:uid="{00000000-0004-0000-0000-000008000000}"/>
    <hyperlink ref="A10" location="'13.8.5'!A1" display="13.8.5" xr:uid="{00000000-0004-0000-0000-000009000000}"/>
    <hyperlink ref="F10" location="'13.8.5E'!A1" display="4,17" xr:uid="{00000000-0004-0000-0000-00000A000000}"/>
    <hyperlink ref="A11" location="'13.8.6'!A1" display="13.8.6" xr:uid="{00000000-0004-0000-0000-00000B000000}"/>
    <hyperlink ref="F11" location="'13.8.6E'!A1" display="17,81" xr:uid="{00000000-0004-0000-0000-00000C000000}"/>
    <hyperlink ref="A12" location="'13.8.7'!A1" display="13.8.7" xr:uid="{00000000-0004-0000-0000-00000D000000}"/>
    <hyperlink ref="F12" location="'13.8.7E'!A1" display="1,00" xr:uid="{00000000-0004-0000-0000-00000E000000}"/>
    <hyperlink ref="A13" location="'13.8.8'!A1" display="13.8.8" xr:uid="{00000000-0004-0000-0000-00000F000000}"/>
    <hyperlink ref="F13" location="'13.8.8E'!A1" display="26,00" xr:uid="{00000000-0004-0000-0000-000010000000}"/>
    <hyperlink ref="A14" location="'13.8.9'!A1" display="13.8.9" xr:uid="{00000000-0004-0000-0000-000011000000}"/>
    <hyperlink ref="F14" location="'13.8.9E'!A1" display="364,49" xr:uid="{00000000-0004-0000-0000-000012000000}"/>
    <hyperlink ref="A15" location="'13.8.10'!A1" display="13.8.10" xr:uid="{00000000-0004-0000-0000-000013000000}"/>
    <hyperlink ref="F15" location="'13.8.10E'!A1" display="11,00" xr:uid="{00000000-0004-0000-0000-000014000000}"/>
    <hyperlink ref="A16" location="'13.8.11'!A1" display="13.8.11" xr:uid="{00000000-0004-0000-0000-000015000000}"/>
    <hyperlink ref="F16" location="'13.8.11E'!A1" display="118,00" xr:uid="{00000000-0004-0000-0000-000016000000}"/>
    <hyperlink ref="A17" location="'13.8.12'!A1" display="13.8.12" xr:uid="{00000000-0004-0000-0000-000017000000}"/>
    <hyperlink ref="F17" location="'13.8.12E'!A1" display="17,54" xr:uid="{00000000-0004-0000-0000-000018000000}"/>
    <hyperlink ref="A18" location="'13.8.13'!A1" display="13.8.13" xr:uid="{00000000-0004-0000-0000-000019000000}"/>
    <hyperlink ref="F18" location="'13.8.13E'!A1" display="122,00" xr:uid="{00000000-0004-0000-0000-00001A000000}"/>
    <hyperlink ref="A19" location="'13.8.14'!A1" display="13.8.14" xr:uid="{00000000-0004-0000-0000-00001B000000}"/>
    <hyperlink ref="F19" location="'13.8.14E'!A1" display="5447,98" xr:uid="{00000000-0004-0000-0000-00001C000000}"/>
    <hyperlink ref="A20" location="'13.8.15'!A1" display="13.8.15" xr:uid="{00000000-0004-0000-0000-00001D000000}"/>
    <hyperlink ref="F20" location="'13.8.15E'!A1" display="1,00" xr:uid="{00000000-0004-0000-0000-00001E000000}"/>
    <hyperlink ref="A21" location="'13.8.16'!A1" display="13.8.16" xr:uid="{00000000-0004-0000-0000-00001F000000}"/>
    <hyperlink ref="F21" location="'13.8.16E'!A1" display="67,00" xr:uid="{00000000-0004-0000-0000-000020000000}"/>
    <hyperlink ref="A22" location="'13.8.17'!A1" display="13.8.17" xr:uid="{00000000-0004-0000-0000-000021000000}"/>
    <hyperlink ref="F22" location="'13.8.17E'!A1" display="22,00" xr:uid="{00000000-0004-0000-0000-000022000000}"/>
    <hyperlink ref="A23" location="'13.8.18'!A1" display="13.8.18" xr:uid="{00000000-0004-0000-0000-000023000000}"/>
    <hyperlink ref="F23" location="'13.8.18E'!A1" display="5,00" xr:uid="{00000000-0004-0000-0000-000024000000}"/>
    <hyperlink ref="A24" location="'13.8.19'!A1" display="13.8.19" xr:uid="{00000000-0004-0000-0000-000025000000}"/>
    <hyperlink ref="F24" location="'13.8.19E'!A1" display="74,00" xr:uid="{00000000-0004-0000-0000-000026000000}"/>
    <hyperlink ref="A25" location="'13.8.20'!A1" display="13.8.20" xr:uid="{00000000-0004-0000-0000-000027000000}"/>
    <hyperlink ref="F25" location="'13.8.20E'!A1" display="47,00" xr:uid="{00000000-0004-0000-0000-000028000000}"/>
    <hyperlink ref="A26" location="'13.8.21'!A1" display="13.8.21" xr:uid="{00000000-0004-0000-0000-000029000000}"/>
    <hyperlink ref="F26" location="'13.8.21E'!A1" display="2,00" xr:uid="{00000000-0004-0000-0000-00002A000000}"/>
    <hyperlink ref="A27" location="'13.8.22'!A1" display="13.8.22" xr:uid="{00000000-0004-0000-0000-00002B000000}"/>
    <hyperlink ref="F27" location="'13.8.22E'!A1" display="2,00" xr:uid="{00000000-0004-0000-0000-00002C000000}"/>
    <hyperlink ref="A28" location="'13.8.23'!A1" display="13.8.23" xr:uid="{00000000-0004-0000-0000-00002D000000}"/>
    <hyperlink ref="F28" location="'13.8.23E'!A1" display="2,00" xr:uid="{00000000-0004-0000-0000-00002E000000}"/>
    <hyperlink ref="A29" location="'13.8.24'!A1" display="13.8.24" xr:uid="{00000000-0004-0000-0000-00002F000000}"/>
    <hyperlink ref="F29" location="'13.8.24E'!A1" display="2,00" xr:uid="{00000000-0004-0000-0000-000030000000}"/>
    <hyperlink ref="A30" location="'13.8.25'!A1" display="13.8.25" xr:uid="{00000000-0004-0000-0000-000031000000}"/>
    <hyperlink ref="F30" location="'13.8.25E'!A1" display="4,00" xr:uid="{00000000-0004-0000-0000-000032000000}"/>
    <hyperlink ref="A31" location="'13.8.26'!A1" display="13.8.26" xr:uid="{00000000-0004-0000-0000-000033000000}"/>
    <hyperlink ref="F31" location="'13.8.26E'!A1" display="4,00" xr:uid="{00000000-0004-0000-0000-000034000000}"/>
    <hyperlink ref="A32" location="'13.8.27'!A1" display="13.8.27" xr:uid="{00000000-0004-0000-0000-000035000000}"/>
    <hyperlink ref="F32" location="'13.8.27E'!A1" display="8,00" xr:uid="{00000000-0004-0000-0000-000036000000}"/>
  </hyperlinks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CF8E3"/>
  </sheetPr>
  <dimension ref="A1:I38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8" t="s">
        <v>44</v>
      </c>
      <c r="B2" s="8" t="s">
        <v>45</v>
      </c>
      <c r="C2" s="8" t="s">
        <v>32</v>
      </c>
      <c r="D2" s="8" t="s">
        <v>46</v>
      </c>
      <c r="E2" s="8" t="s">
        <v>42</v>
      </c>
      <c r="F2" s="8" t="s">
        <v>167</v>
      </c>
      <c r="G2" s="8">
        <v>1.98</v>
      </c>
      <c r="H2" s="8">
        <v>2.3730300000000004</v>
      </c>
      <c r="I2" s="8">
        <v>61.698780000000014</v>
      </c>
    </row>
    <row r="5" spans="1:9">
      <c r="A5" s="16" t="s">
        <v>120</v>
      </c>
      <c r="B5" s="16" t="s">
        <v>120</v>
      </c>
      <c r="C5" s="16" t="s">
        <v>120</v>
      </c>
      <c r="D5" s="16" t="s">
        <v>120</v>
      </c>
      <c r="E5" s="16" t="s">
        <v>120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121</v>
      </c>
      <c r="C7" s="10" t="s">
        <v>122</v>
      </c>
      <c r="D7" s="10" t="s">
        <v>123</v>
      </c>
      <c r="E7" s="10" t="s">
        <v>9</v>
      </c>
    </row>
    <row r="8" spans="1:9">
      <c r="A8" s="11">
        <v>1</v>
      </c>
      <c r="B8" s="11" t="s">
        <v>124</v>
      </c>
      <c r="C8" s="11">
        <v>13</v>
      </c>
      <c r="D8" s="11" t="s">
        <v>168</v>
      </c>
      <c r="E8" s="11">
        <v>13</v>
      </c>
    </row>
    <row r="9" spans="1:9">
      <c r="A9" s="11">
        <v>2</v>
      </c>
      <c r="B9" s="11" t="s">
        <v>124</v>
      </c>
      <c r="C9" s="11">
        <v>13</v>
      </c>
      <c r="D9" s="11" t="s">
        <v>168</v>
      </c>
      <c r="E9" s="11">
        <v>13</v>
      </c>
    </row>
    <row r="10" spans="1:9">
      <c r="A10" s="11" t="s">
        <v>126</v>
      </c>
      <c r="B10" s="11" t="s">
        <v>126</v>
      </c>
      <c r="C10" s="11">
        <f>SUBTOTAL(109,Criteria_Summary13.8.8[Elementos])</f>
        <v>26</v>
      </c>
      <c r="D10" s="11" t="s">
        <v>126</v>
      </c>
      <c r="E10" s="11">
        <f>SUBTOTAL(109,Criteria_Summary13.8.8[Total])</f>
        <v>26</v>
      </c>
    </row>
    <row r="11" spans="1:9">
      <c r="A11" s="12" t="s">
        <v>127</v>
      </c>
      <c r="B11" s="12">
        <v>0</v>
      </c>
      <c r="C11" s="13"/>
      <c r="D11" s="13"/>
      <c r="E11" s="12">
        <v>26</v>
      </c>
    </row>
    <row r="14" spans="1:9">
      <c r="A14" s="18" t="s">
        <v>168</v>
      </c>
      <c r="B14" s="18" t="s">
        <v>168</v>
      </c>
      <c r="C14" s="18" t="s">
        <v>168</v>
      </c>
      <c r="D14" s="18" t="s">
        <v>168</v>
      </c>
      <c r="E14" s="18" t="s">
        <v>168</v>
      </c>
    </row>
    <row r="15" spans="1:9">
      <c r="A15" s="19"/>
      <c r="B15" s="19"/>
      <c r="C15" s="19"/>
      <c r="D15" s="19"/>
      <c r="E15" s="19"/>
    </row>
    <row r="16" spans="1:9">
      <c r="A16" s="14" t="s">
        <v>121</v>
      </c>
      <c r="B16" s="14" t="s">
        <v>122</v>
      </c>
      <c r="C16" s="20" t="s">
        <v>128</v>
      </c>
      <c r="D16" s="20" t="s">
        <v>128</v>
      </c>
      <c r="E16" s="14" t="s">
        <v>9</v>
      </c>
    </row>
    <row r="17" spans="1:5">
      <c r="A17" s="11" t="s">
        <v>124</v>
      </c>
      <c r="B17" s="11">
        <v>13</v>
      </c>
      <c r="C17" s="21" t="s">
        <v>169</v>
      </c>
      <c r="D17" s="21" t="s">
        <v>169</v>
      </c>
      <c r="E17" s="11">
        <v>13</v>
      </c>
    </row>
    <row r="19" spans="1:5">
      <c r="A19" s="22" t="s">
        <v>130</v>
      </c>
      <c r="B19" s="22" t="s">
        <v>130</v>
      </c>
      <c r="C19" s="22" t="s">
        <v>130</v>
      </c>
      <c r="D19" s="22" t="s">
        <v>130</v>
      </c>
      <c r="E19" s="22" t="s">
        <v>130</v>
      </c>
    </row>
    <row r="20" spans="1:5">
      <c r="A20" s="20" t="s">
        <v>131</v>
      </c>
      <c r="B20" s="20" t="s">
        <v>131</v>
      </c>
      <c r="C20" s="20" t="s">
        <v>131</v>
      </c>
      <c r="D20" s="14" t="s">
        <v>132</v>
      </c>
      <c r="E20" s="14"/>
    </row>
    <row r="21" spans="1:5">
      <c r="A21" s="11"/>
      <c r="B21" s="11"/>
      <c r="C21" s="11"/>
      <c r="D21" s="11" t="s">
        <v>133</v>
      </c>
      <c r="E21" s="11" t="s">
        <v>134</v>
      </c>
    </row>
    <row r="23" spans="1:5">
      <c r="A23" s="22" t="s">
        <v>135</v>
      </c>
      <c r="B23" s="22" t="s">
        <v>135</v>
      </c>
      <c r="C23" s="22" t="s">
        <v>135</v>
      </c>
      <c r="D23" s="22" t="s">
        <v>135</v>
      </c>
      <c r="E23" s="22" t="s">
        <v>135</v>
      </c>
    </row>
    <row r="24" spans="1:5">
      <c r="A24" s="20" t="s">
        <v>136</v>
      </c>
      <c r="B24" s="14"/>
      <c r="C24" s="14"/>
      <c r="D24" s="14" t="s">
        <v>121</v>
      </c>
      <c r="E24" s="14"/>
    </row>
    <row r="25" spans="1:5">
      <c r="A25" s="21" t="s">
        <v>170</v>
      </c>
      <c r="B25" s="21" t="s">
        <v>170</v>
      </c>
      <c r="C25" s="21" t="s">
        <v>170</v>
      </c>
      <c r="D25" s="11" t="s">
        <v>171</v>
      </c>
      <c r="E25" s="11" t="s">
        <v>134</v>
      </c>
    </row>
    <row r="27" spans="1:5">
      <c r="A27" s="18" t="s">
        <v>168</v>
      </c>
      <c r="B27" s="18" t="s">
        <v>168</v>
      </c>
      <c r="C27" s="18" t="s">
        <v>168</v>
      </c>
      <c r="D27" s="18" t="s">
        <v>168</v>
      </c>
      <c r="E27" s="18" t="s">
        <v>168</v>
      </c>
    </row>
    <row r="28" spans="1:5">
      <c r="A28" s="19"/>
      <c r="B28" s="19"/>
      <c r="C28" s="19"/>
      <c r="D28" s="19"/>
      <c r="E28" s="19"/>
    </row>
    <row r="29" spans="1:5">
      <c r="A29" s="14" t="s">
        <v>121</v>
      </c>
      <c r="B29" s="14" t="s">
        <v>122</v>
      </c>
      <c r="C29" s="20" t="s">
        <v>128</v>
      </c>
      <c r="D29" s="20" t="s">
        <v>128</v>
      </c>
      <c r="E29" s="14" t="s">
        <v>9</v>
      </c>
    </row>
    <row r="30" spans="1:5">
      <c r="A30" s="11" t="s">
        <v>124</v>
      </c>
      <c r="B30" s="11">
        <v>13</v>
      </c>
      <c r="C30" s="21" t="s">
        <v>169</v>
      </c>
      <c r="D30" s="21" t="s">
        <v>169</v>
      </c>
      <c r="E30" s="11">
        <v>13</v>
      </c>
    </row>
    <row r="32" spans="1:5">
      <c r="A32" s="22" t="s">
        <v>130</v>
      </c>
      <c r="B32" s="22" t="s">
        <v>130</v>
      </c>
      <c r="C32" s="22" t="s">
        <v>130</v>
      </c>
      <c r="D32" s="22" t="s">
        <v>130</v>
      </c>
      <c r="E32" s="22" t="s">
        <v>130</v>
      </c>
    </row>
    <row r="33" spans="1:5">
      <c r="A33" s="20" t="s">
        <v>131</v>
      </c>
      <c r="B33" s="20" t="s">
        <v>131</v>
      </c>
      <c r="C33" s="20" t="s">
        <v>131</v>
      </c>
      <c r="D33" s="14" t="s">
        <v>132</v>
      </c>
      <c r="E33" s="14"/>
    </row>
    <row r="34" spans="1:5">
      <c r="A34" s="11"/>
      <c r="B34" s="11"/>
      <c r="C34" s="11"/>
      <c r="D34" s="11" t="s">
        <v>133</v>
      </c>
      <c r="E34" s="11" t="s">
        <v>134</v>
      </c>
    </row>
    <row r="36" spans="1:5">
      <c r="A36" s="22" t="s">
        <v>135</v>
      </c>
      <c r="B36" s="22" t="s">
        <v>135</v>
      </c>
      <c r="C36" s="22" t="s">
        <v>135</v>
      </c>
      <c r="D36" s="22" t="s">
        <v>135</v>
      </c>
      <c r="E36" s="22" t="s">
        <v>135</v>
      </c>
    </row>
    <row r="37" spans="1:5">
      <c r="A37" s="20" t="s">
        <v>136</v>
      </c>
      <c r="B37" s="14"/>
      <c r="C37" s="14"/>
      <c r="D37" s="14" t="s">
        <v>121</v>
      </c>
      <c r="E37" s="14"/>
    </row>
    <row r="38" spans="1:5">
      <c r="A38" s="21" t="s">
        <v>172</v>
      </c>
      <c r="B38" s="21" t="s">
        <v>172</v>
      </c>
      <c r="C38" s="21" t="s">
        <v>172</v>
      </c>
      <c r="D38" s="11" t="s">
        <v>172</v>
      </c>
      <c r="E38" s="11" t="s">
        <v>134</v>
      </c>
    </row>
  </sheetData>
  <mergeCells count="20">
    <mergeCell ref="A32:E32"/>
    <mergeCell ref="A33:C33"/>
    <mergeCell ref="A36:E36"/>
    <mergeCell ref="A37"/>
    <mergeCell ref="A38:C38"/>
    <mergeCell ref="A25:C25"/>
    <mergeCell ref="A27:E27"/>
    <mergeCell ref="A28:E28"/>
    <mergeCell ref="C29:D29"/>
    <mergeCell ref="C30:D30"/>
    <mergeCell ref="C17:D17"/>
    <mergeCell ref="A19:E19"/>
    <mergeCell ref="A20:C20"/>
    <mergeCell ref="A23:E23"/>
    <mergeCell ref="A24"/>
    <mergeCell ref="A5:E5"/>
    <mergeCell ref="A6:E6"/>
    <mergeCell ref="A14:E14"/>
    <mergeCell ref="A15:E15"/>
    <mergeCell ref="C16:D16"/>
  </mergeCells>
  <hyperlinks>
    <hyperlink ref="A2" location="'13.8'!A1" display="13.8.8" xr:uid="{00000000-0004-0000-0900-000000000000}"/>
    <hyperlink ref="F2" location="'13.8.8E'!A1" display="26" xr:uid="{00000000-0004-0000-0900-000001000000}"/>
    <hyperlink ref="E11" location="'13.8.8E'!A1" display="'13.8.8E'!A1" xr:uid="{00000000-0004-0000-09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DFF0D8"/>
  </sheetPr>
  <dimension ref="A1:I24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 ht="24.75">
      <c r="A2" s="6" t="s">
        <v>48</v>
      </c>
      <c r="B2" s="6" t="s">
        <v>49</v>
      </c>
      <c r="C2" s="6" t="s">
        <v>13</v>
      </c>
      <c r="D2" s="6" t="s">
        <v>50</v>
      </c>
      <c r="E2" s="6" t="s">
        <v>15</v>
      </c>
      <c r="F2" s="6" t="s">
        <v>51</v>
      </c>
      <c r="G2" s="6">
        <v>10.902962</v>
      </c>
      <c r="H2" s="6">
        <v>13.067199957000001</v>
      </c>
      <c r="I2" s="6">
        <v>4762.8637123269309</v>
      </c>
    </row>
    <row r="5" spans="1:9">
      <c r="A5" s="16" t="s">
        <v>120</v>
      </c>
      <c r="B5" s="16" t="s">
        <v>120</v>
      </c>
      <c r="C5" s="16" t="s">
        <v>120</v>
      </c>
      <c r="D5" s="16" t="s">
        <v>120</v>
      </c>
      <c r="E5" s="16" t="s">
        <v>120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121</v>
      </c>
      <c r="C7" s="10" t="s">
        <v>122</v>
      </c>
      <c r="D7" s="10" t="s">
        <v>123</v>
      </c>
      <c r="E7" s="10" t="s">
        <v>9</v>
      </c>
    </row>
    <row r="8" spans="1:9">
      <c r="A8" s="11">
        <v>1</v>
      </c>
      <c r="B8" s="11" t="s">
        <v>151</v>
      </c>
      <c r="C8" s="11">
        <v>184</v>
      </c>
      <c r="D8" s="11" t="s">
        <v>152</v>
      </c>
      <c r="E8" s="11">
        <v>364.4936710761109</v>
      </c>
    </row>
    <row r="9" spans="1:9">
      <c r="A9" s="11" t="s">
        <v>126</v>
      </c>
      <c r="B9" s="11" t="s">
        <v>126</v>
      </c>
      <c r="C9" s="11">
        <f>SUBTOTAL(109,Criteria_Summary13.8.9[Elementos])</f>
        <v>184</v>
      </c>
      <c r="D9" s="11" t="s">
        <v>126</v>
      </c>
      <c r="E9" s="11">
        <f>SUBTOTAL(109,Criteria_Summary13.8.9[Total])</f>
        <v>364.4936710761109</v>
      </c>
    </row>
    <row r="10" spans="1:9">
      <c r="A10" s="12" t="s">
        <v>127</v>
      </c>
      <c r="B10" s="12">
        <v>0</v>
      </c>
      <c r="C10" s="13"/>
      <c r="D10" s="13"/>
      <c r="E10" s="12">
        <v>364.49</v>
      </c>
    </row>
    <row r="13" spans="1:9">
      <c r="A13" s="18" t="s">
        <v>152</v>
      </c>
      <c r="B13" s="18" t="s">
        <v>152</v>
      </c>
      <c r="C13" s="18" t="s">
        <v>152</v>
      </c>
      <c r="D13" s="18" t="s">
        <v>152</v>
      </c>
      <c r="E13" s="18" t="s">
        <v>152</v>
      </c>
    </row>
    <row r="14" spans="1:9">
      <c r="A14" s="19"/>
      <c r="B14" s="19"/>
      <c r="C14" s="19"/>
      <c r="D14" s="19"/>
      <c r="E14" s="19"/>
    </row>
    <row r="15" spans="1:9">
      <c r="A15" s="14" t="s">
        <v>121</v>
      </c>
      <c r="B15" s="14" t="s">
        <v>122</v>
      </c>
      <c r="C15" s="20" t="s">
        <v>128</v>
      </c>
      <c r="D15" s="20" t="s">
        <v>128</v>
      </c>
      <c r="E15" s="14" t="s">
        <v>9</v>
      </c>
    </row>
    <row r="16" spans="1:9">
      <c r="A16" s="11" t="s">
        <v>151</v>
      </c>
      <c r="B16" s="11">
        <v>184</v>
      </c>
      <c r="C16" s="21" t="s">
        <v>153</v>
      </c>
      <c r="D16" s="21" t="s">
        <v>153</v>
      </c>
      <c r="E16" s="11">
        <v>364.4936710761109</v>
      </c>
    </row>
    <row r="18" spans="1:5">
      <c r="A18" s="22" t="s">
        <v>135</v>
      </c>
      <c r="B18" s="22" t="s">
        <v>135</v>
      </c>
      <c r="C18" s="22" t="s">
        <v>135</v>
      </c>
      <c r="D18" s="22" t="s">
        <v>135</v>
      </c>
      <c r="E18" s="22" t="s">
        <v>135</v>
      </c>
    </row>
    <row r="19" spans="1:5">
      <c r="A19" s="20" t="s">
        <v>136</v>
      </c>
      <c r="B19" s="14"/>
      <c r="C19" s="14"/>
      <c r="D19" s="14" t="s">
        <v>121</v>
      </c>
      <c r="E19" s="14"/>
    </row>
    <row r="20" spans="1:5">
      <c r="A20" s="21" t="s">
        <v>154</v>
      </c>
      <c r="B20" s="21" t="s">
        <v>154</v>
      </c>
      <c r="C20" s="21" t="s">
        <v>154</v>
      </c>
      <c r="D20" s="11" t="s">
        <v>155</v>
      </c>
      <c r="E20" s="11" t="s">
        <v>134</v>
      </c>
    </row>
    <row r="22" spans="1:5">
      <c r="A22" s="22" t="s">
        <v>139</v>
      </c>
      <c r="B22" s="22" t="s">
        <v>139</v>
      </c>
      <c r="C22" s="22" t="s">
        <v>139</v>
      </c>
      <c r="D22" s="22" t="s">
        <v>139</v>
      </c>
      <c r="E22" s="22" t="s">
        <v>139</v>
      </c>
    </row>
    <row r="23" spans="1:5">
      <c r="A23" s="14" t="s">
        <v>121</v>
      </c>
      <c r="B23" s="14" t="s">
        <v>140</v>
      </c>
      <c r="C23" s="14" t="s">
        <v>141</v>
      </c>
      <c r="D23" s="14" t="s">
        <v>142</v>
      </c>
      <c r="E23" s="14"/>
    </row>
    <row r="24" spans="1:5">
      <c r="A24" s="11" t="s">
        <v>143</v>
      </c>
      <c r="B24" s="11" t="s">
        <v>144</v>
      </c>
      <c r="C24" s="11" t="s">
        <v>161</v>
      </c>
      <c r="D24" s="11" t="s">
        <v>146</v>
      </c>
      <c r="E24" s="11" t="s">
        <v>147</v>
      </c>
    </row>
  </sheetData>
  <mergeCells count="10">
    <mergeCell ref="C16:D16"/>
    <mergeCell ref="A18:E18"/>
    <mergeCell ref="A19"/>
    <mergeCell ref="A20:C20"/>
    <mergeCell ref="A22:E22"/>
    <mergeCell ref="A5:E5"/>
    <mergeCell ref="A6:E6"/>
    <mergeCell ref="A13:E13"/>
    <mergeCell ref="A14:E14"/>
    <mergeCell ref="C15:D15"/>
  </mergeCells>
  <hyperlinks>
    <hyperlink ref="A2" location="'13.8'!A1" display="13.8.9" xr:uid="{00000000-0004-0000-0A00-000000000000}"/>
    <hyperlink ref="F2" location="'13.8.9E'!A1" display="364,49" xr:uid="{00000000-0004-0000-0A00-000001000000}"/>
    <hyperlink ref="E10" location="'13.8.9E'!A1" display="'13.8.9E'!A1" xr:uid="{00000000-0004-0000-0A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DFF0D8"/>
  </sheetPr>
  <dimension ref="A1:I38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 ht="24.75">
      <c r="A2" s="6" t="s">
        <v>52</v>
      </c>
      <c r="B2" s="6" t="s">
        <v>53</v>
      </c>
      <c r="C2" s="6" t="s">
        <v>13</v>
      </c>
      <c r="D2" s="6" t="s">
        <v>54</v>
      </c>
      <c r="E2" s="6" t="s">
        <v>42</v>
      </c>
      <c r="F2" s="6" t="s">
        <v>173</v>
      </c>
      <c r="G2" s="6">
        <v>196.80355</v>
      </c>
      <c r="H2" s="6">
        <v>235.86905467500003</v>
      </c>
      <c r="I2" s="6">
        <v>2594.5596014250004</v>
      </c>
    </row>
    <row r="5" spans="1:9">
      <c r="A5" s="16" t="s">
        <v>120</v>
      </c>
      <c r="B5" s="16" t="s">
        <v>120</v>
      </c>
      <c r="C5" s="16" t="s">
        <v>120</v>
      </c>
      <c r="D5" s="16" t="s">
        <v>120</v>
      </c>
      <c r="E5" s="16" t="s">
        <v>120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121</v>
      </c>
      <c r="C7" s="10" t="s">
        <v>122</v>
      </c>
      <c r="D7" s="10" t="s">
        <v>123</v>
      </c>
      <c r="E7" s="10" t="s">
        <v>9</v>
      </c>
    </row>
    <row r="8" spans="1:9">
      <c r="A8" s="11">
        <v>1</v>
      </c>
      <c r="B8" s="11" t="s">
        <v>124</v>
      </c>
      <c r="C8" s="11">
        <v>3</v>
      </c>
      <c r="D8" s="11" t="s">
        <v>174</v>
      </c>
      <c r="E8" s="11">
        <v>3</v>
      </c>
    </row>
    <row r="9" spans="1:9">
      <c r="A9" s="11">
        <v>2</v>
      </c>
      <c r="B9" s="11" t="s">
        <v>124</v>
      </c>
      <c r="C9" s="11">
        <v>8</v>
      </c>
      <c r="D9" s="11" t="s">
        <v>175</v>
      </c>
      <c r="E9" s="11">
        <v>8</v>
      </c>
    </row>
    <row r="10" spans="1:9">
      <c r="A10" s="11" t="s">
        <v>126</v>
      </c>
      <c r="B10" s="11" t="s">
        <v>126</v>
      </c>
      <c r="C10" s="11">
        <f>SUBTOTAL(109,Criteria_Summary13.8.10[Elementos])</f>
        <v>11</v>
      </c>
      <c r="D10" s="11" t="s">
        <v>126</v>
      </c>
      <c r="E10" s="11">
        <f>SUBTOTAL(109,Criteria_Summary13.8.10[Total])</f>
        <v>11</v>
      </c>
    </row>
    <row r="11" spans="1:9">
      <c r="A11" s="12" t="s">
        <v>127</v>
      </c>
      <c r="B11" s="12">
        <v>0</v>
      </c>
      <c r="C11" s="13"/>
      <c r="D11" s="13"/>
      <c r="E11" s="12">
        <v>11</v>
      </c>
    </row>
    <row r="14" spans="1:9">
      <c r="A14" s="18" t="s">
        <v>174</v>
      </c>
      <c r="B14" s="18" t="s">
        <v>174</v>
      </c>
      <c r="C14" s="18" t="s">
        <v>174</v>
      </c>
      <c r="D14" s="18" t="s">
        <v>174</v>
      </c>
      <c r="E14" s="18" t="s">
        <v>174</v>
      </c>
    </row>
    <row r="15" spans="1:9">
      <c r="A15" s="19"/>
      <c r="B15" s="19"/>
      <c r="C15" s="19"/>
      <c r="D15" s="19"/>
      <c r="E15" s="19"/>
    </row>
    <row r="16" spans="1:9">
      <c r="A16" s="14" t="s">
        <v>121</v>
      </c>
      <c r="B16" s="14" t="s">
        <v>122</v>
      </c>
      <c r="C16" s="20" t="s">
        <v>128</v>
      </c>
      <c r="D16" s="20" t="s">
        <v>128</v>
      </c>
      <c r="E16" s="14" t="s">
        <v>9</v>
      </c>
    </row>
    <row r="17" spans="1:5">
      <c r="A17" s="11" t="s">
        <v>124</v>
      </c>
      <c r="B17" s="11">
        <v>3</v>
      </c>
      <c r="C17" s="21" t="s">
        <v>176</v>
      </c>
      <c r="D17" s="21" t="s">
        <v>176</v>
      </c>
      <c r="E17" s="11">
        <v>3</v>
      </c>
    </row>
    <row r="19" spans="1:5">
      <c r="A19" s="22" t="s">
        <v>130</v>
      </c>
      <c r="B19" s="22" t="s">
        <v>130</v>
      </c>
      <c r="C19" s="22" t="s">
        <v>130</v>
      </c>
      <c r="D19" s="22" t="s">
        <v>130</v>
      </c>
      <c r="E19" s="22" t="s">
        <v>130</v>
      </c>
    </row>
    <row r="20" spans="1:5">
      <c r="A20" s="20" t="s">
        <v>131</v>
      </c>
      <c r="B20" s="20" t="s">
        <v>131</v>
      </c>
      <c r="C20" s="20" t="s">
        <v>131</v>
      </c>
      <c r="D20" s="14" t="s">
        <v>132</v>
      </c>
      <c r="E20" s="14"/>
    </row>
    <row r="21" spans="1:5">
      <c r="A21" s="11"/>
      <c r="B21" s="11"/>
      <c r="C21" s="11"/>
      <c r="D21" s="11" t="s">
        <v>133</v>
      </c>
      <c r="E21" s="11" t="s">
        <v>134</v>
      </c>
    </row>
    <row r="23" spans="1:5">
      <c r="A23" s="22" t="s">
        <v>135</v>
      </c>
      <c r="B23" s="22" t="s">
        <v>135</v>
      </c>
      <c r="C23" s="22" t="s">
        <v>135</v>
      </c>
      <c r="D23" s="22" t="s">
        <v>135</v>
      </c>
      <c r="E23" s="22" t="s">
        <v>135</v>
      </c>
    </row>
    <row r="24" spans="1:5">
      <c r="A24" s="20" t="s">
        <v>136</v>
      </c>
      <c r="B24" s="14"/>
      <c r="C24" s="14"/>
      <c r="D24" s="14" t="s">
        <v>121</v>
      </c>
      <c r="E24" s="14"/>
    </row>
    <row r="25" spans="1:5">
      <c r="A25" s="21" t="s">
        <v>177</v>
      </c>
      <c r="B25" s="21" t="s">
        <v>177</v>
      </c>
      <c r="C25" s="21" t="s">
        <v>177</v>
      </c>
      <c r="D25" s="11" t="s">
        <v>177</v>
      </c>
      <c r="E25" s="11" t="s">
        <v>134</v>
      </c>
    </row>
    <row r="27" spans="1:5">
      <c r="A27" s="18" t="s">
        <v>175</v>
      </c>
      <c r="B27" s="18" t="s">
        <v>175</v>
      </c>
      <c r="C27" s="18" t="s">
        <v>175</v>
      </c>
      <c r="D27" s="18" t="s">
        <v>175</v>
      </c>
      <c r="E27" s="18" t="s">
        <v>175</v>
      </c>
    </row>
    <row r="28" spans="1:5">
      <c r="A28" s="19"/>
      <c r="B28" s="19"/>
      <c r="C28" s="19"/>
      <c r="D28" s="19"/>
      <c r="E28" s="19"/>
    </row>
    <row r="29" spans="1:5">
      <c r="A29" s="14" t="s">
        <v>121</v>
      </c>
      <c r="B29" s="14" t="s">
        <v>122</v>
      </c>
      <c r="C29" s="20" t="s">
        <v>128</v>
      </c>
      <c r="D29" s="20" t="s">
        <v>128</v>
      </c>
      <c r="E29" s="14" t="s">
        <v>9</v>
      </c>
    </row>
    <row r="30" spans="1:5">
      <c r="A30" s="11" t="s">
        <v>124</v>
      </c>
      <c r="B30" s="11">
        <v>8</v>
      </c>
      <c r="C30" s="21" t="s">
        <v>178</v>
      </c>
      <c r="D30" s="21" t="s">
        <v>178</v>
      </c>
      <c r="E30" s="11">
        <v>8</v>
      </c>
    </row>
    <row r="32" spans="1:5">
      <c r="A32" s="22" t="s">
        <v>130</v>
      </c>
      <c r="B32" s="22" t="s">
        <v>130</v>
      </c>
      <c r="C32" s="22" t="s">
        <v>130</v>
      </c>
      <c r="D32" s="22" t="s">
        <v>130</v>
      </c>
      <c r="E32" s="22" t="s">
        <v>130</v>
      </c>
    </row>
    <row r="33" spans="1:5">
      <c r="A33" s="20" t="s">
        <v>131</v>
      </c>
      <c r="B33" s="20" t="s">
        <v>131</v>
      </c>
      <c r="C33" s="20" t="s">
        <v>131</v>
      </c>
      <c r="D33" s="14" t="s">
        <v>132</v>
      </c>
      <c r="E33" s="14"/>
    </row>
    <row r="34" spans="1:5">
      <c r="A34" s="11"/>
      <c r="B34" s="11"/>
      <c r="C34" s="11"/>
      <c r="D34" s="11" t="s">
        <v>133</v>
      </c>
      <c r="E34" s="11" t="s">
        <v>134</v>
      </c>
    </row>
    <row r="36" spans="1:5">
      <c r="A36" s="22" t="s">
        <v>135</v>
      </c>
      <c r="B36" s="22" t="s">
        <v>135</v>
      </c>
      <c r="C36" s="22" t="s">
        <v>135</v>
      </c>
      <c r="D36" s="22" t="s">
        <v>135</v>
      </c>
      <c r="E36" s="22" t="s">
        <v>135</v>
      </c>
    </row>
    <row r="37" spans="1:5">
      <c r="A37" s="20" t="s">
        <v>136</v>
      </c>
      <c r="B37" s="14"/>
      <c r="C37" s="14"/>
      <c r="D37" s="14" t="s">
        <v>121</v>
      </c>
      <c r="E37" s="14"/>
    </row>
    <row r="38" spans="1:5">
      <c r="A38" s="21" t="s">
        <v>179</v>
      </c>
      <c r="B38" s="21" t="s">
        <v>179</v>
      </c>
      <c r="C38" s="21" t="s">
        <v>179</v>
      </c>
      <c r="D38" s="11" t="s">
        <v>180</v>
      </c>
      <c r="E38" s="11" t="s">
        <v>134</v>
      </c>
    </row>
  </sheetData>
  <mergeCells count="20">
    <mergeCell ref="A32:E32"/>
    <mergeCell ref="A33:C33"/>
    <mergeCell ref="A36:E36"/>
    <mergeCell ref="A37"/>
    <mergeCell ref="A38:C38"/>
    <mergeCell ref="A25:C25"/>
    <mergeCell ref="A27:E27"/>
    <mergeCell ref="A28:E28"/>
    <mergeCell ref="C29:D29"/>
    <mergeCell ref="C30:D30"/>
    <mergeCell ref="C17:D17"/>
    <mergeCell ref="A19:E19"/>
    <mergeCell ref="A20:C20"/>
    <mergeCell ref="A23:E23"/>
    <mergeCell ref="A24"/>
    <mergeCell ref="A5:E5"/>
    <mergeCell ref="A6:E6"/>
    <mergeCell ref="A14:E14"/>
    <mergeCell ref="A15:E15"/>
    <mergeCell ref="C16:D16"/>
  </mergeCells>
  <hyperlinks>
    <hyperlink ref="A2" location="'13.8'!A1" display="13.8.10" xr:uid="{00000000-0004-0000-0B00-000000000000}"/>
    <hyperlink ref="F2" location="'13.8.10E'!A1" display="11" xr:uid="{00000000-0004-0000-0B00-000001000000}"/>
    <hyperlink ref="E11" location="'13.8.10E'!A1" display="'13.8.10E'!A1" xr:uid="{00000000-0004-0000-0B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FCF8E3"/>
  </sheetPr>
  <dimension ref="A1:I24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8" t="s">
        <v>56</v>
      </c>
      <c r="B2" s="8" t="s">
        <v>57</v>
      </c>
      <c r="C2" s="8" t="s">
        <v>32</v>
      </c>
      <c r="D2" s="8" t="s">
        <v>58</v>
      </c>
      <c r="E2" s="8" t="s">
        <v>42</v>
      </c>
      <c r="F2" s="8" t="s">
        <v>181</v>
      </c>
      <c r="G2" s="8">
        <v>22.42</v>
      </c>
      <c r="H2" s="8">
        <v>26.870370000000005</v>
      </c>
      <c r="I2" s="8">
        <v>3170.7036600000006</v>
      </c>
    </row>
    <row r="5" spans="1:9">
      <c r="A5" s="16" t="s">
        <v>120</v>
      </c>
      <c r="B5" s="16" t="s">
        <v>120</v>
      </c>
      <c r="C5" s="16" t="s">
        <v>120</v>
      </c>
      <c r="D5" s="16" t="s">
        <v>120</v>
      </c>
      <c r="E5" s="16" t="s">
        <v>120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121</v>
      </c>
      <c r="C7" s="10" t="s">
        <v>122</v>
      </c>
      <c r="D7" s="10" t="s">
        <v>123</v>
      </c>
      <c r="E7" s="10" t="s">
        <v>9</v>
      </c>
    </row>
    <row r="8" spans="1:9">
      <c r="A8" s="11">
        <v>1</v>
      </c>
      <c r="B8" s="11" t="s">
        <v>124</v>
      </c>
      <c r="C8" s="11">
        <v>118</v>
      </c>
      <c r="D8" s="11" t="s">
        <v>163</v>
      </c>
      <c r="E8" s="11">
        <v>118</v>
      </c>
    </row>
    <row r="9" spans="1:9">
      <c r="A9" s="11" t="s">
        <v>126</v>
      </c>
      <c r="B9" s="11" t="s">
        <v>126</v>
      </c>
      <c r="C9" s="11">
        <f>SUBTOTAL(109,Criteria_Summary13.8.11[Elementos])</f>
        <v>118</v>
      </c>
      <c r="D9" s="11" t="s">
        <v>126</v>
      </c>
      <c r="E9" s="11">
        <f>SUBTOTAL(109,Criteria_Summary13.8.11[Total])</f>
        <v>118</v>
      </c>
    </row>
    <row r="10" spans="1:9">
      <c r="A10" s="12" t="s">
        <v>127</v>
      </c>
      <c r="B10" s="12">
        <v>0</v>
      </c>
      <c r="C10" s="13"/>
      <c r="D10" s="13"/>
      <c r="E10" s="12">
        <v>118</v>
      </c>
    </row>
    <row r="13" spans="1:9">
      <c r="A13" s="18" t="s">
        <v>163</v>
      </c>
      <c r="B13" s="18" t="s">
        <v>163</v>
      </c>
      <c r="C13" s="18" t="s">
        <v>163</v>
      </c>
      <c r="D13" s="18" t="s">
        <v>163</v>
      </c>
      <c r="E13" s="18" t="s">
        <v>163</v>
      </c>
    </row>
    <row r="14" spans="1:9">
      <c r="A14" s="19"/>
      <c r="B14" s="19"/>
      <c r="C14" s="19"/>
      <c r="D14" s="19"/>
      <c r="E14" s="19"/>
    </row>
    <row r="15" spans="1:9">
      <c r="A15" s="14" t="s">
        <v>121</v>
      </c>
      <c r="B15" s="14" t="s">
        <v>122</v>
      </c>
      <c r="C15" s="20" t="s">
        <v>128</v>
      </c>
      <c r="D15" s="20" t="s">
        <v>128</v>
      </c>
      <c r="E15" s="14" t="s">
        <v>9</v>
      </c>
    </row>
    <row r="16" spans="1:9">
      <c r="A16" s="11" t="s">
        <v>124</v>
      </c>
      <c r="B16" s="11">
        <v>118</v>
      </c>
      <c r="C16" s="21" t="s">
        <v>164</v>
      </c>
      <c r="D16" s="21" t="s">
        <v>164</v>
      </c>
      <c r="E16" s="11">
        <v>118</v>
      </c>
    </row>
    <row r="18" spans="1:5">
      <c r="A18" s="22" t="s">
        <v>130</v>
      </c>
      <c r="B18" s="22" t="s">
        <v>130</v>
      </c>
      <c r="C18" s="22" t="s">
        <v>130</v>
      </c>
      <c r="D18" s="22" t="s">
        <v>130</v>
      </c>
      <c r="E18" s="22" t="s">
        <v>130</v>
      </c>
    </row>
    <row r="19" spans="1:5">
      <c r="A19" s="20" t="s">
        <v>131</v>
      </c>
      <c r="B19" s="20" t="s">
        <v>131</v>
      </c>
      <c r="C19" s="20" t="s">
        <v>131</v>
      </c>
      <c r="D19" s="14" t="s">
        <v>132</v>
      </c>
      <c r="E19" s="14"/>
    </row>
    <row r="20" spans="1:5">
      <c r="A20" s="11"/>
      <c r="B20" s="11"/>
      <c r="C20" s="11"/>
      <c r="D20" s="11" t="s">
        <v>133</v>
      </c>
      <c r="E20" s="11" t="s">
        <v>134</v>
      </c>
    </row>
    <row r="22" spans="1:5">
      <c r="A22" s="22" t="s">
        <v>135</v>
      </c>
      <c r="B22" s="22" t="s">
        <v>135</v>
      </c>
      <c r="C22" s="22" t="s">
        <v>135</v>
      </c>
      <c r="D22" s="22" t="s">
        <v>135</v>
      </c>
      <c r="E22" s="22" t="s">
        <v>135</v>
      </c>
    </row>
    <row r="23" spans="1:5">
      <c r="A23" s="20" t="s">
        <v>136</v>
      </c>
      <c r="B23" s="14"/>
      <c r="C23" s="14"/>
      <c r="D23" s="14" t="s">
        <v>121</v>
      </c>
      <c r="E23" s="14"/>
    </row>
    <row r="24" spans="1:5">
      <c r="A24" s="21" t="s">
        <v>182</v>
      </c>
      <c r="B24" s="21" t="s">
        <v>182</v>
      </c>
      <c r="C24" s="21" t="s">
        <v>182</v>
      </c>
      <c r="D24" s="11" t="s">
        <v>183</v>
      </c>
      <c r="E24" s="11" t="s">
        <v>134</v>
      </c>
    </row>
  </sheetData>
  <mergeCells count="11">
    <mergeCell ref="A24:C24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8'!A1" display="13.8.11" xr:uid="{00000000-0004-0000-0C00-000000000000}"/>
    <hyperlink ref="F2" location="'13.8.11E'!A1" display="118" xr:uid="{00000000-0004-0000-0C00-000001000000}"/>
    <hyperlink ref="E10" location="'13.8.11E'!A1" display="'13.8.11E'!A1" xr:uid="{00000000-0004-0000-0C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DFF0D8"/>
  </sheetPr>
  <dimension ref="A1:I24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 ht="36.75">
      <c r="A2" s="6" t="s">
        <v>60</v>
      </c>
      <c r="B2" s="6" t="s">
        <v>61</v>
      </c>
      <c r="C2" s="6" t="s">
        <v>13</v>
      </c>
      <c r="D2" s="6" t="s">
        <v>62</v>
      </c>
      <c r="E2" s="6" t="s">
        <v>15</v>
      </c>
      <c r="F2" s="6" t="s">
        <v>63</v>
      </c>
      <c r="G2" s="6">
        <v>37.528506</v>
      </c>
      <c r="H2" s="6">
        <v>44.977914441000003</v>
      </c>
      <c r="I2" s="6">
        <v>788.91261929513996</v>
      </c>
    </row>
    <row r="5" spans="1:9">
      <c r="A5" s="16" t="s">
        <v>120</v>
      </c>
      <c r="B5" s="16" t="s">
        <v>120</v>
      </c>
      <c r="C5" s="16" t="s">
        <v>120</v>
      </c>
      <c r="D5" s="16" t="s">
        <v>120</v>
      </c>
      <c r="E5" s="16" t="s">
        <v>120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121</v>
      </c>
      <c r="C7" s="10" t="s">
        <v>122</v>
      </c>
      <c r="D7" s="10" t="s">
        <v>123</v>
      </c>
      <c r="E7" s="10" t="s">
        <v>9</v>
      </c>
    </row>
    <row r="8" spans="1:9">
      <c r="A8" s="11">
        <v>1</v>
      </c>
      <c r="B8" s="11" t="s">
        <v>151</v>
      </c>
      <c r="C8" s="11">
        <v>6</v>
      </c>
      <c r="D8" s="11" t="s">
        <v>152</v>
      </c>
      <c r="E8" s="11">
        <v>17.540264730794963</v>
      </c>
    </row>
    <row r="9" spans="1:9">
      <c r="A9" s="11" t="s">
        <v>126</v>
      </c>
      <c r="B9" s="11" t="s">
        <v>126</v>
      </c>
      <c r="C9" s="11">
        <f>SUBTOTAL(109,Criteria_Summary13.8.12[Elementos])</f>
        <v>6</v>
      </c>
      <c r="D9" s="11" t="s">
        <v>126</v>
      </c>
      <c r="E9" s="11">
        <f>SUBTOTAL(109,Criteria_Summary13.8.12[Total])</f>
        <v>17.540264730794963</v>
      </c>
    </row>
    <row r="10" spans="1:9">
      <c r="A10" s="12" t="s">
        <v>127</v>
      </c>
      <c r="B10" s="12">
        <v>0</v>
      </c>
      <c r="C10" s="13"/>
      <c r="D10" s="13"/>
      <c r="E10" s="12">
        <v>17.54</v>
      </c>
    </row>
    <row r="13" spans="1:9">
      <c r="A13" s="18" t="s">
        <v>152</v>
      </c>
      <c r="B13" s="18" t="s">
        <v>152</v>
      </c>
      <c r="C13" s="18" t="s">
        <v>152</v>
      </c>
      <c r="D13" s="18" t="s">
        <v>152</v>
      </c>
      <c r="E13" s="18" t="s">
        <v>152</v>
      </c>
    </row>
    <row r="14" spans="1:9">
      <c r="A14" s="19"/>
      <c r="B14" s="19"/>
      <c r="C14" s="19"/>
      <c r="D14" s="19"/>
      <c r="E14" s="19"/>
    </row>
    <row r="15" spans="1:9">
      <c r="A15" s="14" t="s">
        <v>121</v>
      </c>
      <c r="B15" s="14" t="s">
        <v>122</v>
      </c>
      <c r="C15" s="20" t="s">
        <v>128</v>
      </c>
      <c r="D15" s="20" t="s">
        <v>128</v>
      </c>
      <c r="E15" s="14" t="s">
        <v>9</v>
      </c>
    </row>
    <row r="16" spans="1:9">
      <c r="A16" s="11" t="s">
        <v>151</v>
      </c>
      <c r="B16" s="11">
        <v>6</v>
      </c>
      <c r="C16" s="21" t="s">
        <v>184</v>
      </c>
      <c r="D16" s="21" t="s">
        <v>184</v>
      </c>
      <c r="E16" s="11">
        <v>17.540264730794963</v>
      </c>
    </row>
    <row r="18" spans="1:5">
      <c r="A18" s="22" t="s">
        <v>135</v>
      </c>
      <c r="B18" s="22" t="s">
        <v>135</v>
      </c>
      <c r="C18" s="22" t="s">
        <v>135</v>
      </c>
      <c r="D18" s="22" t="s">
        <v>135</v>
      </c>
      <c r="E18" s="22" t="s">
        <v>135</v>
      </c>
    </row>
    <row r="19" spans="1:5">
      <c r="A19" s="20" t="s">
        <v>136</v>
      </c>
      <c r="B19" s="14"/>
      <c r="C19" s="14"/>
      <c r="D19" s="14" t="s">
        <v>121</v>
      </c>
      <c r="E19" s="14"/>
    </row>
    <row r="20" spans="1:5">
      <c r="A20" s="21" t="s">
        <v>159</v>
      </c>
      <c r="B20" s="21" t="s">
        <v>159</v>
      </c>
      <c r="C20" s="21" t="s">
        <v>159</v>
      </c>
      <c r="D20" s="11" t="s">
        <v>185</v>
      </c>
      <c r="E20" s="11" t="s">
        <v>134</v>
      </c>
    </row>
    <row r="22" spans="1:5">
      <c r="A22" s="22" t="s">
        <v>139</v>
      </c>
      <c r="B22" s="22" t="s">
        <v>139</v>
      </c>
      <c r="C22" s="22" t="s">
        <v>139</v>
      </c>
      <c r="D22" s="22" t="s">
        <v>139</v>
      </c>
      <c r="E22" s="22" t="s">
        <v>139</v>
      </c>
    </row>
    <row r="23" spans="1:5">
      <c r="A23" s="14" t="s">
        <v>121</v>
      </c>
      <c r="B23" s="14" t="s">
        <v>140</v>
      </c>
      <c r="C23" s="14" t="s">
        <v>141</v>
      </c>
      <c r="D23" s="14" t="s">
        <v>142</v>
      </c>
      <c r="E23" s="14"/>
    </row>
    <row r="24" spans="1:5">
      <c r="A24" s="11" t="s">
        <v>143</v>
      </c>
      <c r="B24" s="11" t="s">
        <v>144</v>
      </c>
      <c r="C24" s="11" t="s">
        <v>161</v>
      </c>
      <c r="D24" s="11" t="s">
        <v>146</v>
      </c>
      <c r="E24" s="11" t="s">
        <v>147</v>
      </c>
    </row>
  </sheetData>
  <mergeCells count="10">
    <mergeCell ref="C16:D16"/>
    <mergeCell ref="A18:E18"/>
    <mergeCell ref="A19"/>
    <mergeCell ref="A20:C20"/>
    <mergeCell ref="A22:E22"/>
    <mergeCell ref="A5:E5"/>
    <mergeCell ref="A6:E6"/>
    <mergeCell ref="A13:E13"/>
    <mergeCell ref="A14:E14"/>
    <mergeCell ref="C15:D15"/>
  </mergeCells>
  <hyperlinks>
    <hyperlink ref="A2" location="'13.8'!A1" display="13.8.12" xr:uid="{00000000-0004-0000-0D00-000000000000}"/>
    <hyperlink ref="F2" location="'13.8.12E'!A1" display="17,54" xr:uid="{00000000-0004-0000-0D00-000001000000}"/>
    <hyperlink ref="E10" location="'13.8.12E'!A1" display="'13.8.12E'!A1" xr:uid="{00000000-0004-0000-0D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DFF0D8"/>
  </sheetPr>
  <dimension ref="A1:I66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6" t="s">
        <v>64</v>
      </c>
      <c r="B2" s="6" t="s">
        <v>65</v>
      </c>
      <c r="C2" s="6" t="s">
        <v>13</v>
      </c>
      <c r="D2" s="6" t="s">
        <v>66</v>
      </c>
      <c r="E2" s="6" t="s">
        <v>42</v>
      </c>
      <c r="F2" s="6" t="s">
        <v>186</v>
      </c>
      <c r="G2" s="6">
        <v>10.166396000000001</v>
      </c>
      <c r="H2" s="6">
        <v>12.184425606000001</v>
      </c>
      <c r="I2" s="6">
        <v>1486.4999239320002</v>
      </c>
    </row>
    <row r="5" spans="1:9">
      <c r="A5" s="16" t="s">
        <v>120</v>
      </c>
      <c r="B5" s="16" t="s">
        <v>120</v>
      </c>
      <c r="C5" s="16" t="s">
        <v>120</v>
      </c>
      <c r="D5" s="16" t="s">
        <v>120</v>
      </c>
      <c r="E5" s="16" t="s">
        <v>120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121</v>
      </c>
      <c r="C7" s="10" t="s">
        <v>122</v>
      </c>
      <c r="D7" s="10" t="s">
        <v>123</v>
      </c>
      <c r="E7" s="10" t="s">
        <v>9</v>
      </c>
    </row>
    <row r="8" spans="1:9">
      <c r="A8" s="11">
        <v>1</v>
      </c>
      <c r="B8" s="11" t="s">
        <v>124</v>
      </c>
      <c r="C8" s="11">
        <v>13</v>
      </c>
      <c r="D8" s="11" t="s">
        <v>187</v>
      </c>
      <c r="E8" s="11">
        <v>13</v>
      </c>
    </row>
    <row r="9" spans="1:9">
      <c r="A9" s="11">
        <v>2</v>
      </c>
      <c r="B9" s="11" t="s">
        <v>124</v>
      </c>
      <c r="C9" s="11">
        <v>13</v>
      </c>
      <c r="D9" s="11" t="s">
        <v>168</v>
      </c>
      <c r="E9" s="11">
        <v>13</v>
      </c>
    </row>
    <row r="10" spans="1:9">
      <c r="A10" s="11">
        <v>3</v>
      </c>
      <c r="B10" s="11" t="s">
        <v>124</v>
      </c>
      <c r="C10" s="11">
        <v>26</v>
      </c>
      <c r="D10" s="11" t="s">
        <v>187</v>
      </c>
      <c r="E10" s="11">
        <v>26</v>
      </c>
    </row>
    <row r="11" spans="1:9">
      <c r="A11" s="11">
        <v>4</v>
      </c>
      <c r="B11" s="11" t="s">
        <v>124</v>
      </c>
      <c r="C11" s="11">
        <v>70</v>
      </c>
      <c r="D11" s="11" t="s">
        <v>187</v>
      </c>
      <c r="E11" s="11">
        <v>70</v>
      </c>
    </row>
    <row r="12" spans="1:9">
      <c r="A12" s="11" t="s">
        <v>126</v>
      </c>
      <c r="B12" s="11" t="s">
        <v>126</v>
      </c>
      <c r="C12" s="11">
        <f>SUBTOTAL(109,Criteria_Summary13.8.13[Elementos])</f>
        <v>122</v>
      </c>
      <c r="D12" s="11" t="s">
        <v>126</v>
      </c>
      <c r="E12" s="11">
        <f>SUBTOTAL(109,Criteria_Summary13.8.13[Total])</f>
        <v>122</v>
      </c>
    </row>
    <row r="13" spans="1:9">
      <c r="A13" s="12" t="s">
        <v>127</v>
      </c>
      <c r="B13" s="12">
        <v>0</v>
      </c>
      <c r="C13" s="13"/>
      <c r="D13" s="13"/>
      <c r="E13" s="12">
        <v>122</v>
      </c>
    </row>
    <row r="16" spans="1:9">
      <c r="A16" s="18" t="s">
        <v>187</v>
      </c>
      <c r="B16" s="18" t="s">
        <v>187</v>
      </c>
      <c r="C16" s="18" t="s">
        <v>187</v>
      </c>
      <c r="D16" s="18" t="s">
        <v>187</v>
      </c>
      <c r="E16" s="18" t="s">
        <v>187</v>
      </c>
    </row>
    <row r="17" spans="1:5">
      <c r="A17" s="19"/>
      <c r="B17" s="19"/>
      <c r="C17" s="19"/>
      <c r="D17" s="19"/>
      <c r="E17" s="19"/>
    </row>
    <row r="18" spans="1:5">
      <c r="A18" s="14" t="s">
        <v>121</v>
      </c>
      <c r="B18" s="14" t="s">
        <v>122</v>
      </c>
      <c r="C18" s="20" t="s">
        <v>128</v>
      </c>
      <c r="D18" s="20" t="s">
        <v>128</v>
      </c>
      <c r="E18" s="14" t="s">
        <v>9</v>
      </c>
    </row>
    <row r="19" spans="1:5">
      <c r="A19" s="11" t="s">
        <v>124</v>
      </c>
      <c r="B19" s="11">
        <v>13</v>
      </c>
      <c r="C19" s="21" t="s">
        <v>188</v>
      </c>
      <c r="D19" s="21" t="s">
        <v>188</v>
      </c>
      <c r="E19" s="11">
        <v>13</v>
      </c>
    </row>
    <row r="21" spans="1:5">
      <c r="A21" s="22" t="s">
        <v>130</v>
      </c>
      <c r="B21" s="22" t="s">
        <v>130</v>
      </c>
      <c r="C21" s="22" t="s">
        <v>130</v>
      </c>
      <c r="D21" s="22" t="s">
        <v>130</v>
      </c>
      <c r="E21" s="22" t="s">
        <v>130</v>
      </c>
    </row>
    <row r="22" spans="1:5">
      <c r="A22" s="20" t="s">
        <v>131</v>
      </c>
      <c r="B22" s="20" t="s">
        <v>131</v>
      </c>
      <c r="C22" s="20" t="s">
        <v>131</v>
      </c>
      <c r="D22" s="14" t="s">
        <v>132</v>
      </c>
      <c r="E22" s="14"/>
    </row>
    <row r="23" spans="1:5">
      <c r="A23" s="11"/>
      <c r="B23" s="11"/>
      <c r="C23" s="11"/>
      <c r="D23" s="11" t="s">
        <v>133</v>
      </c>
      <c r="E23" s="11" t="s">
        <v>134</v>
      </c>
    </row>
    <row r="25" spans="1:5">
      <c r="A25" s="22" t="s">
        <v>135</v>
      </c>
      <c r="B25" s="22" t="s">
        <v>135</v>
      </c>
      <c r="C25" s="22" t="s">
        <v>135</v>
      </c>
      <c r="D25" s="22" t="s">
        <v>135</v>
      </c>
      <c r="E25" s="22" t="s">
        <v>135</v>
      </c>
    </row>
    <row r="26" spans="1:5">
      <c r="A26" s="20" t="s">
        <v>136</v>
      </c>
      <c r="B26" s="14"/>
      <c r="C26" s="14"/>
      <c r="D26" s="14" t="s">
        <v>121</v>
      </c>
      <c r="E26" s="14"/>
    </row>
    <row r="27" spans="1:5">
      <c r="A27" s="21" t="s">
        <v>189</v>
      </c>
      <c r="B27" s="21" t="s">
        <v>189</v>
      </c>
      <c r="C27" s="21" t="s">
        <v>189</v>
      </c>
      <c r="D27" s="11" t="s">
        <v>189</v>
      </c>
      <c r="E27" s="11" t="s">
        <v>134</v>
      </c>
    </row>
    <row r="29" spans="1:5">
      <c r="A29" s="18" t="s">
        <v>168</v>
      </c>
      <c r="B29" s="18" t="s">
        <v>168</v>
      </c>
      <c r="C29" s="18" t="s">
        <v>168</v>
      </c>
      <c r="D29" s="18" t="s">
        <v>168</v>
      </c>
      <c r="E29" s="18" t="s">
        <v>168</v>
      </c>
    </row>
    <row r="30" spans="1:5">
      <c r="A30" s="19"/>
      <c r="B30" s="19"/>
      <c r="C30" s="19"/>
      <c r="D30" s="19"/>
      <c r="E30" s="19"/>
    </row>
    <row r="31" spans="1:5">
      <c r="A31" s="14" t="s">
        <v>121</v>
      </c>
      <c r="B31" s="14" t="s">
        <v>122</v>
      </c>
      <c r="C31" s="20" t="s">
        <v>128</v>
      </c>
      <c r="D31" s="20" t="s">
        <v>128</v>
      </c>
      <c r="E31" s="14" t="s">
        <v>9</v>
      </c>
    </row>
    <row r="32" spans="1:5">
      <c r="A32" s="11" t="s">
        <v>124</v>
      </c>
      <c r="B32" s="11">
        <v>13</v>
      </c>
      <c r="C32" s="21" t="s">
        <v>169</v>
      </c>
      <c r="D32" s="21" t="s">
        <v>169</v>
      </c>
      <c r="E32" s="11">
        <v>13</v>
      </c>
    </row>
    <row r="34" spans="1:5">
      <c r="A34" s="22" t="s">
        <v>130</v>
      </c>
      <c r="B34" s="22" t="s">
        <v>130</v>
      </c>
      <c r="C34" s="22" t="s">
        <v>130</v>
      </c>
      <c r="D34" s="22" t="s">
        <v>130</v>
      </c>
      <c r="E34" s="22" t="s">
        <v>130</v>
      </c>
    </row>
    <row r="35" spans="1:5">
      <c r="A35" s="20" t="s">
        <v>131</v>
      </c>
      <c r="B35" s="20" t="s">
        <v>131</v>
      </c>
      <c r="C35" s="20" t="s">
        <v>131</v>
      </c>
      <c r="D35" s="14" t="s">
        <v>132</v>
      </c>
      <c r="E35" s="14"/>
    </row>
    <row r="36" spans="1:5">
      <c r="A36" s="11"/>
      <c r="B36" s="11"/>
      <c r="C36" s="11"/>
      <c r="D36" s="11" t="s">
        <v>133</v>
      </c>
      <c r="E36" s="11" t="s">
        <v>134</v>
      </c>
    </row>
    <row r="38" spans="1:5">
      <c r="A38" s="22" t="s">
        <v>135</v>
      </c>
      <c r="B38" s="22" t="s">
        <v>135</v>
      </c>
      <c r="C38" s="22" t="s">
        <v>135</v>
      </c>
      <c r="D38" s="22" t="s">
        <v>135</v>
      </c>
      <c r="E38" s="22" t="s">
        <v>135</v>
      </c>
    </row>
    <row r="39" spans="1:5">
      <c r="A39" s="20" t="s">
        <v>136</v>
      </c>
      <c r="B39" s="14"/>
      <c r="C39" s="14"/>
      <c r="D39" s="14" t="s">
        <v>121</v>
      </c>
      <c r="E39" s="14"/>
    </row>
    <row r="40" spans="1:5">
      <c r="A40" s="21" t="s">
        <v>190</v>
      </c>
      <c r="B40" s="21" t="s">
        <v>190</v>
      </c>
      <c r="C40" s="21" t="s">
        <v>190</v>
      </c>
      <c r="D40" s="11" t="s">
        <v>191</v>
      </c>
      <c r="E40" s="11" t="s">
        <v>134</v>
      </c>
    </row>
    <row r="42" spans="1:5">
      <c r="A42" s="18" t="s">
        <v>187</v>
      </c>
      <c r="B42" s="18" t="s">
        <v>187</v>
      </c>
      <c r="C42" s="18" t="s">
        <v>187</v>
      </c>
      <c r="D42" s="18" t="s">
        <v>187</v>
      </c>
      <c r="E42" s="18" t="s">
        <v>187</v>
      </c>
    </row>
    <row r="43" spans="1:5">
      <c r="A43" s="19"/>
      <c r="B43" s="19"/>
      <c r="C43" s="19"/>
      <c r="D43" s="19"/>
      <c r="E43" s="19"/>
    </row>
    <row r="44" spans="1:5">
      <c r="A44" s="14" t="s">
        <v>121</v>
      </c>
      <c r="B44" s="14" t="s">
        <v>122</v>
      </c>
      <c r="C44" s="20" t="s">
        <v>128</v>
      </c>
      <c r="D44" s="20" t="s">
        <v>128</v>
      </c>
      <c r="E44" s="14" t="s">
        <v>9</v>
      </c>
    </row>
    <row r="45" spans="1:5">
      <c r="A45" s="11" t="s">
        <v>124</v>
      </c>
      <c r="B45" s="11">
        <v>26</v>
      </c>
      <c r="C45" s="21" t="s">
        <v>188</v>
      </c>
      <c r="D45" s="21" t="s">
        <v>188</v>
      </c>
      <c r="E45" s="11">
        <v>26</v>
      </c>
    </row>
    <row r="47" spans="1:5">
      <c r="A47" s="22" t="s">
        <v>130</v>
      </c>
      <c r="B47" s="22" t="s">
        <v>130</v>
      </c>
      <c r="C47" s="22" t="s">
        <v>130</v>
      </c>
      <c r="D47" s="22" t="s">
        <v>130</v>
      </c>
      <c r="E47" s="22" t="s">
        <v>130</v>
      </c>
    </row>
    <row r="48" spans="1:5">
      <c r="A48" s="20" t="s">
        <v>131</v>
      </c>
      <c r="B48" s="20" t="s">
        <v>131</v>
      </c>
      <c r="C48" s="20" t="s">
        <v>131</v>
      </c>
      <c r="D48" s="14" t="s">
        <v>132</v>
      </c>
      <c r="E48" s="14"/>
    </row>
    <row r="49" spans="1:5">
      <c r="A49" s="11"/>
      <c r="B49" s="11"/>
      <c r="C49" s="11"/>
      <c r="D49" s="11" t="s">
        <v>133</v>
      </c>
      <c r="E49" s="11" t="s">
        <v>134</v>
      </c>
    </row>
    <row r="51" spans="1:5">
      <c r="A51" s="22" t="s">
        <v>135</v>
      </c>
      <c r="B51" s="22" t="s">
        <v>135</v>
      </c>
      <c r="C51" s="22" t="s">
        <v>135</v>
      </c>
      <c r="D51" s="22" t="s">
        <v>135</v>
      </c>
      <c r="E51" s="22" t="s">
        <v>135</v>
      </c>
    </row>
    <row r="52" spans="1:5">
      <c r="A52" s="20" t="s">
        <v>136</v>
      </c>
      <c r="B52" s="14"/>
      <c r="C52" s="14"/>
      <c r="D52" s="14" t="s">
        <v>121</v>
      </c>
      <c r="E52" s="14"/>
    </row>
    <row r="53" spans="1:5">
      <c r="A53" s="21" t="s">
        <v>192</v>
      </c>
      <c r="B53" s="21" t="s">
        <v>192</v>
      </c>
      <c r="C53" s="21" t="s">
        <v>192</v>
      </c>
      <c r="D53" s="11" t="s">
        <v>193</v>
      </c>
      <c r="E53" s="11" t="s">
        <v>134</v>
      </c>
    </row>
    <row r="55" spans="1:5">
      <c r="A55" s="18" t="s">
        <v>187</v>
      </c>
      <c r="B55" s="18" t="s">
        <v>187</v>
      </c>
      <c r="C55" s="18" t="s">
        <v>187</v>
      </c>
      <c r="D55" s="18" t="s">
        <v>187</v>
      </c>
      <c r="E55" s="18" t="s">
        <v>187</v>
      </c>
    </row>
    <row r="56" spans="1:5">
      <c r="A56" s="19"/>
      <c r="B56" s="19"/>
      <c r="C56" s="19"/>
      <c r="D56" s="19"/>
      <c r="E56" s="19"/>
    </row>
    <row r="57" spans="1:5">
      <c r="A57" s="14" t="s">
        <v>121</v>
      </c>
      <c r="B57" s="14" t="s">
        <v>122</v>
      </c>
      <c r="C57" s="20" t="s">
        <v>128</v>
      </c>
      <c r="D57" s="20" t="s">
        <v>128</v>
      </c>
      <c r="E57" s="14" t="s">
        <v>9</v>
      </c>
    </row>
    <row r="58" spans="1:5">
      <c r="A58" s="11" t="s">
        <v>124</v>
      </c>
      <c r="B58" s="11">
        <v>70</v>
      </c>
      <c r="C58" s="21" t="s">
        <v>188</v>
      </c>
      <c r="D58" s="21" t="s">
        <v>188</v>
      </c>
      <c r="E58" s="11">
        <v>70</v>
      </c>
    </row>
    <row r="60" spans="1:5">
      <c r="A60" s="22" t="s">
        <v>130</v>
      </c>
      <c r="B60" s="22" t="s">
        <v>130</v>
      </c>
      <c r="C60" s="22" t="s">
        <v>130</v>
      </c>
      <c r="D60" s="22" t="s">
        <v>130</v>
      </c>
      <c r="E60" s="22" t="s">
        <v>130</v>
      </c>
    </row>
    <row r="61" spans="1:5">
      <c r="A61" s="20" t="s">
        <v>131</v>
      </c>
      <c r="B61" s="20" t="s">
        <v>131</v>
      </c>
      <c r="C61" s="20" t="s">
        <v>131</v>
      </c>
      <c r="D61" s="14" t="s">
        <v>132</v>
      </c>
      <c r="E61" s="14"/>
    </row>
    <row r="62" spans="1:5">
      <c r="A62" s="11"/>
      <c r="B62" s="11"/>
      <c r="C62" s="11"/>
      <c r="D62" s="11" t="s">
        <v>133</v>
      </c>
      <c r="E62" s="11" t="s">
        <v>134</v>
      </c>
    </row>
    <row r="64" spans="1:5">
      <c r="A64" s="22" t="s">
        <v>135</v>
      </c>
      <c r="B64" s="22" t="s">
        <v>135</v>
      </c>
      <c r="C64" s="22" t="s">
        <v>135</v>
      </c>
      <c r="D64" s="22" t="s">
        <v>135</v>
      </c>
      <c r="E64" s="22" t="s">
        <v>135</v>
      </c>
    </row>
    <row r="65" spans="1:5">
      <c r="A65" s="20" t="s">
        <v>136</v>
      </c>
      <c r="B65" s="14"/>
      <c r="C65" s="14"/>
      <c r="D65" s="14" t="s">
        <v>121</v>
      </c>
      <c r="E65" s="14"/>
    </row>
    <row r="66" spans="1:5">
      <c r="A66" s="21" t="s">
        <v>194</v>
      </c>
      <c r="B66" s="21" t="s">
        <v>194</v>
      </c>
      <c r="C66" s="21" t="s">
        <v>194</v>
      </c>
      <c r="D66" s="11" t="s">
        <v>194</v>
      </c>
      <c r="E66" s="11" t="s">
        <v>134</v>
      </c>
    </row>
  </sheetData>
  <mergeCells count="38">
    <mergeCell ref="A64:E64"/>
    <mergeCell ref="A65"/>
    <mergeCell ref="A66:C66"/>
    <mergeCell ref="A56:E56"/>
    <mergeCell ref="C57:D57"/>
    <mergeCell ref="C58:D58"/>
    <mergeCell ref="A60:E60"/>
    <mergeCell ref="A61:C61"/>
    <mergeCell ref="A48:C48"/>
    <mergeCell ref="A51:E51"/>
    <mergeCell ref="A52"/>
    <mergeCell ref="A53:C53"/>
    <mergeCell ref="A55:E55"/>
    <mergeCell ref="A42:E42"/>
    <mergeCell ref="A43:E43"/>
    <mergeCell ref="C44:D44"/>
    <mergeCell ref="C45:D45"/>
    <mergeCell ref="A47:E47"/>
    <mergeCell ref="A34:E34"/>
    <mergeCell ref="A35:C35"/>
    <mergeCell ref="A38:E38"/>
    <mergeCell ref="A39"/>
    <mergeCell ref="A40:C40"/>
    <mergeCell ref="A27:C27"/>
    <mergeCell ref="A29:E29"/>
    <mergeCell ref="A30:E30"/>
    <mergeCell ref="C31:D31"/>
    <mergeCell ref="C32:D32"/>
    <mergeCell ref="C19:D19"/>
    <mergeCell ref="A21:E21"/>
    <mergeCell ref="A22:C22"/>
    <mergeCell ref="A25:E25"/>
    <mergeCell ref="A26"/>
    <mergeCell ref="A5:E5"/>
    <mergeCell ref="A6:E6"/>
    <mergeCell ref="A16:E16"/>
    <mergeCell ref="A17:E17"/>
    <mergeCell ref="C18:D18"/>
  </mergeCells>
  <hyperlinks>
    <hyperlink ref="A2" location="'13.8'!A1" display="13.8.13" xr:uid="{00000000-0004-0000-0E00-000000000000}"/>
    <hyperlink ref="F2" location="'13.8.13E'!A1" display="122" xr:uid="{00000000-0004-0000-0E00-000001000000}"/>
    <hyperlink ref="E13" location="'13.8.13E'!A1" display="'13.8.13E'!A1" xr:uid="{00000000-0004-0000-0E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FCF8E3"/>
  </sheetPr>
  <dimension ref="A1:I22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8" t="s">
        <v>68</v>
      </c>
      <c r="B2" s="8" t="s">
        <v>69</v>
      </c>
      <c r="C2" s="8" t="s">
        <v>32</v>
      </c>
      <c r="D2" s="8" t="s">
        <v>70</v>
      </c>
      <c r="E2" s="8" t="s">
        <v>15</v>
      </c>
      <c r="F2" s="8" t="s">
        <v>71</v>
      </c>
      <c r="G2" s="8">
        <v>7.09</v>
      </c>
      <c r="H2" s="8">
        <v>8.4973650000000003</v>
      </c>
      <c r="I2" s="8">
        <v>46293.474572699997</v>
      </c>
    </row>
    <row r="5" spans="1:9">
      <c r="A5" s="16" t="s">
        <v>120</v>
      </c>
      <c r="B5" s="16" t="s">
        <v>120</v>
      </c>
      <c r="C5" s="16" t="s">
        <v>120</v>
      </c>
      <c r="D5" s="16" t="s">
        <v>120</v>
      </c>
      <c r="E5" s="16" t="s">
        <v>120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121</v>
      </c>
      <c r="C7" s="10" t="s">
        <v>122</v>
      </c>
      <c r="D7" s="10" t="s">
        <v>123</v>
      </c>
      <c r="E7" s="10" t="s">
        <v>9</v>
      </c>
    </row>
    <row r="8" spans="1:9">
      <c r="A8" s="11">
        <v>1</v>
      </c>
      <c r="B8" s="11" t="s">
        <v>151</v>
      </c>
      <c r="C8" s="11">
        <v>113</v>
      </c>
      <c r="D8" s="11" t="s">
        <v>195</v>
      </c>
      <c r="E8" s="11">
        <v>4557.058137343427</v>
      </c>
    </row>
    <row r="9" spans="1:9">
      <c r="A9" s="11">
        <v>2</v>
      </c>
      <c r="B9" s="11" t="s">
        <v>151</v>
      </c>
      <c r="C9" s="11">
        <v>224</v>
      </c>
      <c r="D9" s="11" t="s">
        <v>152</v>
      </c>
      <c r="E9" s="11">
        <v>890.92511605030859</v>
      </c>
    </row>
    <row r="10" spans="1:9">
      <c r="A10" s="11" t="s">
        <v>126</v>
      </c>
      <c r="B10" s="11" t="s">
        <v>126</v>
      </c>
      <c r="C10" s="11">
        <f>SUBTOTAL(109,Criteria_Summary13.8.14[Elementos])</f>
        <v>337</v>
      </c>
      <c r="D10" s="11" t="s">
        <v>126</v>
      </c>
      <c r="E10" s="11">
        <f>SUBTOTAL(109,Criteria_Summary13.8.14[Total])</f>
        <v>5447.9832533937351</v>
      </c>
    </row>
    <row r="11" spans="1:9">
      <c r="A11" s="12" t="s">
        <v>127</v>
      </c>
      <c r="B11" s="12">
        <v>0</v>
      </c>
      <c r="C11" s="13"/>
      <c r="D11" s="13"/>
      <c r="E11" s="12">
        <v>5447.98</v>
      </c>
    </row>
    <row r="14" spans="1:9">
      <c r="A14" s="18" t="s">
        <v>195</v>
      </c>
      <c r="B14" s="18" t="s">
        <v>195</v>
      </c>
      <c r="C14" s="18" t="s">
        <v>195</v>
      </c>
      <c r="D14" s="18" t="s">
        <v>195</v>
      </c>
      <c r="E14" s="18" t="s">
        <v>195</v>
      </c>
    </row>
    <row r="15" spans="1:9">
      <c r="A15" s="19"/>
      <c r="B15" s="19"/>
      <c r="C15" s="19"/>
      <c r="D15" s="19"/>
      <c r="E15" s="19"/>
    </row>
    <row r="16" spans="1:9">
      <c r="A16" s="14" t="s">
        <v>121</v>
      </c>
      <c r="B16" s="14" t="s">
        <v>122</v>
      </c>
      <c r="C16" s="20" t="s">
        <v>128</v>
      </c>
      <c r="D16" s="20" t="s">
        <v>128</v>
      </c>
      <c r="E16" s="14" t="s">
        <v>9</v>
      </c>
    </row>
    <row r="17" spans="1:5">
      <c r="A17" s="11" t="s">
        <v>151</v>
      </c>
      <c r="B17" s="11">
        <v>113</v>
      </c>
      <c r="C17" s="21" t="s">
        <v>196</v>
      </c>
      <c r="D17" s="21" t="s">
        <v>196</v>
      </c>
      <c r="E17" s="11">
        <v>4557.058137343427</v>
      </c>
    </row>
    <row r="19" spans="1:5">
      <c r="A19" s="18" t="s">
        <v>152</v>
      </c>
      <c r="B19" s="18" t="s">
        <v>152</v>
      </c>
      <c r="C19" s="18" t="s">
        <v>152</v>
      </c>
      <c r="D19" s="18" t="s">
        <v>152</v>
      </c>
      <c r="E19" s="18" t="s">
        <v>152</v>
      </c>
    </row>
    <row r="20" spans="1:5">
      <c r="A20" s="19"/>
      <c r="B20" s="19"/>
      <c r="C20" s="19"/>
      <c r="D20" s="19"/>
      <c r="E20" s="19"/>
    </row>
    <row r="21" spans="1:5">
      <c r="A21" s="14" t="s">
        <v>121</v>
      </c>
      <c r="B21" s="14" t="s">
        <v>122</v>
      </c>
      <c r="C21" s="20" t="s">
        <v>128</v>
      </c>
      <c r="D21" s="20" t="s">
        <v>128</v>
      </c>
      <c r="E21" s="14" t="s">
        <v>9</v>
      </c>
    </row>
    <row r="22" spans="1:5">
      <c r="A22" s="11" t="s">
        <v>151</v>
      </c>
      <c r="B22" s="11">
        <v>224</v>
      </c>
      <c r="C22" s="21" t="s">
        <v>197</v>
      </c>
      <c r="D22" s="21" t="s">
        <v>197</v>
      </c>
      <c r="E22" s="11">
        <v>890.92511605030859</v>
      </c>
    </row>
  </sheetData>
  <mergeCells count="10">
    <mergeCell ref="C17:D17"/>
    <mergeCell ref="A19:E19"/>
    <mergeCell ref="A20:E20"/>
    <mergeCell ref="C21:D21"/>
    <mergeCell ref="C22:D22"/>
    <mergeCell ref="A5:E5"/>
    <mergeCell ref="A6:E6"/>
    <mergeCell ref="A14:E14"/>
    <mergeCell ref="A15:E15"/>
    <mergeCell ref="C16:D16"/>
  </mergeCells>
  <hyperlinks>
    <hyperlink ref="A2" location="'13.8'!A1" display="13.8.14" xr:uid="{00000000-0004-0000-0F00-000000000000}"/>
    <hyperlink ref="F2" location="'13.8.14E'!A1" display="5447,98" xr:uid="{00000000-0004-0000-0F00-000001000000}"/>
    <hyperlink ref="E11" location="'13.8.14E'!A1" display="'13.8.14E'!A1" xr:uid="{00000000-0004-0000-0F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DFF0D8"/>
  </sheetPr>
  <dimension ref="A1:I24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6" t="s">
        <v>72</v>
      </c>
      <c r="B2" s="6" t="s">
        <v>73</v>
      </c>
      <c r="C2" s="6" t="s">
        <v>32</v>
      </c>
      <c r="D2" s="6" t="s">
        <v>74</v>
      </c>
      <c r="E2" s="6" t="s">
        <v>42</v>
      </c>
      <c r="F2" s="6" t="s">
        <v>162</v>
      </c>
      <c r="G2" s="6">
        <v>34.289845432</v>
      </c>
      <c r="H2" s="6">
        <v>41.096379750252005</v>
      </c>
      <c r="I2" s="6">
        <v>41.096379750252005</v>
      </c>
    </row>
    <row r="5" spans="1:9">
      <c r="A5" s="16" t="s">
        <v>120</v>
      </c>
      <c r="B5" s="16" t="s">
        <v>120</v>
      </c>
      <c r="C5" s="16" t="s">
        <v>120</v>
      </c>
      <c r="D5" s="16" t="s">
        <v>120</v>
      </c>
      <c r="E5" s="16" t="s">
        <v>120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121</v>
      </c>
      <c r="C7" s="10" t="s">
        <v>122</v>
      </c>
      <c r="D7" s="10" t="s">
        <v>123</v>
      </c>
      <c r="E7" s="10" t="s">
        <v>9</v>
      </c>
    </row>
    <row r="8" spans="1:9">
      <c r="A8" s="11">
        <v>1</v>
      </c>
      <c r="B8" s="11" t="s">
        <v>124</v>
      </c>
      <c r="C8" s="11">
        <v>1</v>
      </c>
      <c r="D8" s="11" t="s">
        <v>168</v>
      </c>
      <c r="E8" s="11">
        <v>1</v>
      </c>
    </row>
    <row r="9" spans="1:9">
      <c r="A9" s="11" t="s">
        <v>126</v>
      </c>
      <c r="B9" s="11" t="s">
        <v>126</v>
      </c>
      <c r="C9" s="11">
        <f>SUBTOTAL(109,Criteria_Summary13.8.15[Elementos])</f>
        <v>1</v>
      </c>
      <c r="D9" s="11" t="s">
        <v>126</v>
      </c>
      <c r="E9" s="11">
        <f>SUBTOTAL(109,Criteria_Summary13.8.15[Total])</f>
        <v>1</v>
      </c>
    </row>
    <row r="10" spans="1:9">
      <c r="A10" s="12" t="s">
        <v>127</v>
      </c>
      <c r="B10" s="12">
        <v>0</v>
      </c>
      <c r="C10" s="13"/>
      <c r="D10" s="13"/>
      <c r="E10" s="12">
        <v>1</v>
      </c>
    </row>
    <row r="13" spans="1:9">
      <c r="A13" s="18" t="s">
        <v>168</v>
      </c>
      <c r="B13" s="18" t="s">
        <v>168</v>
      </c>
      <c r="C13" s="18" t="s">
        <v>168</v>
      </c>
      <c r="D13" s="18" t="s">
        <v>168</v>
      </c>
      <c r="E13" s="18" t="s">
        <v>168</v>
      </c>
    </row>
    <row r="14" spans="1:9">
      <c r="A14" s="19"/>
      <c r="B14" s="19"/>
      <c r="C14" s="19"/>
      <c r="D14" s="19"/>
      <c r="E14" s="19"/>
    </row>
    <row r="15" spans="1:9">
      <c r="A15" s="14" t="s">
        <v>121</v>
      </c>
      <c r="B15" s="14" t="s">
        <v>122</v>
      </c>
      <c r="C15" s="20" t="s">
        <v>128</v>
      </c>
      <c r="D15" s="20" t="s">
        <v>128</v>
      </c>
      <c r="E15" s="14" t="s">
        <v>9</v>
      </c>
    </row>
    <row r="16" spans="1:9">
      <c r="A16" s="11" t="s">
        <v>124</v>
      </c>
      <c r="B16" s="11">
        <v>1</v>
      </c>
      <c r="C16" s="21" t="s">
        <v>169</v>
      </c>
      <c r="D16" s="21" t="s">
        <v>169</v>
      </c>
      <c r="E16" s="11">
        <v>1</v>
      </c>
    </row>
    <row r="18" spans="1:5">
      <c r="A18" s="22" t="s">
        <v>130</v>
      </c>
      <c r="B18" s="22" t="s">
        <v>130</v>
      </c>
      <c r="C18" s="22" t="s">
        <v>130</v>
      </c>
      <c r="D18" s="22" t="s">
        <v>130</v>
      </c>
      <c r="E18" s="22" t="s">
        <v>130</v>
      </c>
    </row>
    <row r="19" spans="1:5">
      <c r="A19" s="20" t="s">
        <v>131</v>
      </c>
      <c r="B19" s="20" t="s">
        <v>131</v>
      </c>
      <c r="C19" s="20" t="s">
        <v>131</v>
      </c>
      <c r="D19" s="14" t="s">
        <v>132</v>
      </c>
      <c r="E19" s="14"/>
    </row>
    <row r="20" spans="1:5">
      <c r="A20" s="11"/>
      <c r="B20" s="11"/>
      <c r="C20" s="11"/>
      <c r="D20" s="11" t="s">
        <v>133</v>
      </c>
      <c r="E20" s="11" t="s">
        <v>134</v>
      </c>
    </row>
    <row r="22" spans="1:5">
      <c r="A22" s="22" t="s">
        <v>135</v>
      </c>
      <c r="B22" s="22" t="s">
        <v>135</v>
      </c>
      <c r="C22" s="22" t="s">
        <v>135</v>
      </c>
      <c r="D22" s="22" t="s">
        <v>135</v>
      </c>
      <c r="E22" s="22" t="s">
        <v>135</v>
      </c>
    </row>
    <row r="23" spans="1:5">
      <c r="A23" s="20" t="s">
        <v>136</v>
      </c>
      <c r="B23" s="14"/>
      <c r="C23" s="14"/>
      <c r="D23" s="14" t="s">
        <v>121</v>
      </c>
      <c r="E23" s="14"/>
    </row>
    <row r="24" spans="1:5">
      <c r="A24" s="21" t="s">
        <v>198</v>
      </c>
      <c r="B24" s="21" t="s">
        <v>198</v>
      </c>
      <c r="C24" s="21" t="s">
        <v>198</v>
      </c>
      <c r="D24" s="11" t="s">
        <v>199</v>
      </c>
      <c r="E24" s="11" t="s">
        <v>134</v>
      </c>
    </row>
  </sheetData>
  <mergeCells count="11">
    <mergeCell ref="A24:C24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8'!A1" display="13.8.15" xr:uid="{00000000-0004-0000-1000-000000000000}"/>
    <hyperlink ref="F2" location="'13.8.15E'!A1" display="1" xr:uid="{00000000-0004-0000-1000-000001000000}"/>
    <hyperlink ref="E10" location="'13.8.15E'!A1" display="'13.8.15E'!A1" xr:uid="{00000000-0004-0000-10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DFF0D8"/>
  </sheetPr>
  <dimension ref="A1:I38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6" t="s">
        <v>75</v>
      </c>
      <c r="B2" s="6" t="s">
        <v>76</v>
      </c>
      <c r="C2" s="6" t="s">
        <v>13</v>
      </c>
      <c r="D2" s="6" t="s">
        <v>77</v>
      </c>
      <c r="E2" s="6" t="s">
        <v>42</v>
      </c>
      <c r="F2" s="6" t="s">
        <v>200</v>
      </c>
      <c r="G2" s="6">
        <v>24.811520000000002</v>
      </c>
      <c r="H2" s="6">
        <v>29.736606720000005</v>
      </c>
      <c r="I2" s="6">
        <v>1992.3526502400002</v>
      </c>
    </row>
    <row r="5" spans="1:9">
      <c r="A5" s="16" t="s">
        <v>120</v>
      </c>
      <c r="B5" s="16" t="s">
        <v>120</v>
      </c>
      <c r="C5" s="16" t="s">
        <v>120</v>
      </c>
      <c r="D5" s="16" t="s">
        <v>120</v>
      </c>
      <c r="E5" s="16" t="s">
        <v>120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121</v>
      </c>
      <c r="C7" s="10" t="s">
        <v>122</v>
      </c>
      <c r="D7" s="10" t="s">
        <v>123</v>
      </c>
      <c r="E7" s="10" t="s">
        <v>9</v>
      </c>
    </row>
    <row r="8" spans="1:9">
      <c r="A8" s="11">
        <v>1</v>
      </c>
      <c r="B8" s="11" t="s">
        <v>124</v>
      </c>
      <c r="C8" s="11">
        <v>22</v>
      </c>
      <c r="D8" s="11" t="s">
        <v>175</v>
      </c>
      <c r="E8" s="11">
        <v>22</v>
      </c>
    </row>
    <row r="9" spans="1:9">
      <c r="A9" s="11">
        <v>2</v>
      </c>
      <c r="B9" s="11" t="s">
        <v>124</v>
      </c>
      <c r="C9" s="11">
        <v>45</v>
      </c>
      <c r="D9" s="11" t="s">
        <v>175</v>
      </c>
      <c r="E9" s="11">
        <v>45</v>
      </c>
    </row>
    <row r="10" spans="1:9">
      <c r="A10" s="11" t="s">
        <v>126</v>
      </c>
      <c r="B10" s="11" t="s">
        <v>126</v>
      </c>
      <c r="C10" s="11">
        <f>SUBTOTAL(109,Criteria_Summary13.8.16[Elementos])</f>
        <v>67</v>
      </c>
      <c r="D10" s="11" t="s">
        <v>126</v>
      </c>
      <c r="E10" s="11">
        <f>SUBTOTAL(109,Criteria_Summary13.8.16[Total])</f>
        <v>67</v>
      </c>
    </row>
    <row r="11" spans="1:9">
      <c r="A11" s="12" t="s">
        <v>127</v>
      </c>
      <c r="B11" s="12">
        <v>0</v>
      </c>
      <c r="C11" s="13"/>
      <c r="D11" s="13"/>
      <c r="E11" s="12">
        <v>67</v>
      </c>
    </row>
    <row r="14" spans="1:9">
      <c r="A14" s="18" t="s">
        <v>175</v>
      </c>
      <c r="B14" s="18" t="s">
        <v>175</v>
      </c>
      <c r="C14" s="18" t="s">
        <v>175</v>
      </c>
      <c r="D14" s="18" t="s">
        <v>175</v>
      </c>
      <c r="E14" s="18" t="s">
        <v>175</v>
      </c>
    </row>
    <row r="15" spans="1:9">
      <c r="A15" s="19"/>
      <c r="B15" s="19"/>
      <c r="C15" s="19"/>
      <c r="D15" s="19"/>
      <c r="E15" s="19"/>
    </row>
    <row r="16" spans="1:9">
      <c r="A16" s="14" t="s">
        <v>121</v>
      </c>
      <c r="B16" s="14" t="s">
        <v>122</v>
      </c>
      <c r="C16" s="20" t="s">
        <v>128</v>
      </c>
      <c r="D16" s="20" t="s">
        <v>128</v>
      </c>
      <c r="E16" s="14" t="s">
        <v>9</v>
      </c>
    </row>
    <row r="17" spans="1:5">
      <c r="A17" s="11" t="s">
        <v>124</v>
      </c>
      <c r="B17" s="11">
        <v>22</v>
      </c>
      <c r="C17" s="21" t="s">
        <v>178</v>
      </c>
      <c r="D17" s="21" t="s">
        <v>178</v>
      </c>
      <c r="E17" s="11">
        <v>22</v>
      </c>
    </row>
    <row r="19" spans="1:5">
      <c r="A19" s="22" t="s">
        <v>130</v>
      </c>
      <c r="B19" s="22" t="s">
        <v>130</v>
      </c>
      <c r="C19" s="22" t="s">
        <v>130</v>
      </c>
      <c r="D19" s="22" t="s">
        <v>130</v>
      </c>
      <c r="E19" s="22" t="s">
        <v>130</v>
      </c>
    </row>
    <row r="20" spans="1:5">
      <c r="A20" s="20" t="s">
        <v>131</v>
      </c>
      <c r="B20" s="20" t="s">
        <v>131</v>
      </c>
      <c r="C20" s="20" t="s">
        <v>131</v>
      </c>
      <c r="D20" s="14" t="s">
        <v>132</v>
      </c>
      <c r="E20" s="14"/>
    </row>
    <row r="21" spans="1:5">
      <c r="A21" s="11"/>
      <c r="B21" s="11"/>
      <c r="C21" s="11"/>
      <c r="D21" s="11" t="s">
        <v>133</v>
      </c>
      <c r="E21" s="11" t="s">
        <v>134</v>
      </c>
    </row>
    <row r="23" spans="1:5">
      <c r="A23" s="22" t="s">
        <v>135</v>
      </c>
      <c r="B23" s="22" t="s">
        <v>135</v>
      </c>
      <c r="C23" s="22" t="s">
        <v>135</v>
      </c>
      <c r="D23" s="22" t="s">
        <v>135</v>
      </c>
      <c r="E23" s="22" t="s">
        <v>135</v>
      </c>
    </row>
    <row r="24" spans="1:5">
      <c r="A24" s="20" t="s">
        <v>136</v>
      </c>
      <c r="B24" s="14"/>
      <c r="C24" s="14"/>
      <c r="D24" s="14" t="s">
        <v>121</v>
      </c>
      <c r="E24" s="14"/>
    </row>
    <row r="25" spans="1:5">
      <c r="A25" s="21" t="s">
        <v>201</v>
      </c>
      <c r="B25" s="21" t="s">
        <v>201</v>
      </c>
      <c r="C25" s="21" t="s">
        <v>201</v>
      </c>
      <c r="D25" s="11" t="s">
        <v>201</v>
      </c>
      <c r="E25" s="11" t="s">
        <v>134</v>
      </c>
    </row>
    <row r="27" spans="1:5">
      <c r="A27" s="18" t="s">
        <v>175</v>
      </c>
      <c r="B27" s="18" t="s">
        <v>175</v>
      </c>
      <c r="C27" s="18" t="s">
        <v>175</v>
      </c>
      <c r="D27" s="18" t="s">
        <v>175</v>
      </c>
      <c r="E27" s="18" t="s">
        <v>175</v>
      </c>
    </row>
    <row r="28" spans="1:5">
      <c r="A28" s="19"/>
      <c r="B28" s="19"/>
      <c r="C28" s="19"/>
      <c r="D28" s="19"/>
      <c r="E28" s="19"/>
    </row>
    <row r="29" spans="1:5">
      <c r="A29" s="14" t="s">
        <v>121</v>
      </c>
      <c r="B29" s="14" t="s">
        <v>122</v>
      </c>
      <c r="C29" s="20" t="s">
        <v>128</v>
      </c>
      <c r="D29" s="20" t="s">
        <v>128</v>
      </c>
      <c r="E29" s="14" t="s">
        <v>9</v>
      </c>
    </row>
    <row r="30" spans="1:5">
      <c r="A30" s="11" t="s">
        <v>124</v>
      </c>
      <c r="B30" s="11">
        <v>45</v>
      </c>
      <c r="C30" s="21" t="s">
        <v>178</v>
      </c>
      <c r="D30" s="21" t="s">
        <v>178</v>
      </c>
      <c r="E30" s="11">
        <v>45</v>
      </c>
    </row>
    <row r="32" spans="1:5">
      <c r="A32" s="22" t="s">
        <v>130</v>
      </c>
      <c r="B32" s="22" t="s">
        <v>130</v>
      </c>
      <c r="C32" s="22" t="s">
        <v>130</v>
      </c>
      <c r="D32" s="22" t="s">
        <v>130</v>
      </c>
      <c r="E32" s="22" t="s">
        <v>130</v>
      </c>
    </row>
    <row r="33" spans="1:5">
      <c r="A33" s="20" t="s">
        <v>131</v>
      </c>
      <c r="B33" s="20" t="s">
        <v>131</v>
      </c>
      <c r="C33" s="20" t="s">
        <v>131</v>
      </c>
      <c r="D33" s="14" t="s">
        <v>132</v>
      </c>
      <c r="E33" s="14"/>
    </row>
    <row r="34" spans="1:5">
      <c r="A34" s="11"/>
      <c r="B34" s="11"/>
      <c r="C34" s="11"/>
      <c r="D34" s="11" t="s">
        <v>133</v>
      </c>
      <c r="E34" s="11" t="s">
        <v>134</v>
      </c>
    </row>
    <row r="36" spans="1:5">
      <c r="A36" s="22" t="s">
        <v>135</v>
      </c>
      <c r="B36" s="22" t="s">
        <v>135</v>
      </c>
      <c r="C36" s="22" t="s">
        <v>135</v>
      </c>
      <c r="D36" s="22" t="s">
        <v>135</v>
      </c>
      <c r="E36" s="22" t="s">
        <v>135</v>
      </c>
    </row>
    <row r="37" spans="1:5">
      <c r="A37" s="20" t="s">
        <v>136</v>
      </c>
      <c r="B37" s="14"/>
      <c r="C37" s="14"/>
      <c r="D37" s="14" t="s">
        <v>121</v>
      </c>
      <c r="E37" s="14"/>
    </row>
    <row r="38" spans="1:5">
      <c r="A38" s="21" t="s">
        <v>202</v>
      </c>
      <c r="B38" s="21" t="s">
        <v>202</v>
      </c>
      <c r="C38" s="21" t="s">
        <v>202</v>
      </c>
      <c r="D38" s="11" t="s">
        <v>202</v>
      </c>
      <c r="E38" s="11" t="s">
        <v>134</v>
      </c>
    </row>
  </sheetData>
  <mergeCells count="20">
    <mergeCell ref="A32:E32"/>
    <mergeCell ref="A33:C33"/>
    <mergeCell ref="A36:E36"/>
    <mergeCell ref="A37"/>
    <mergeCell ref="A38:C38"/>
    <mergeCell ref="A25:C25"/>
    <mergeCell ref="A27:E27"/>
    <mergeCell ref="A28:E28"/>
    <mergeCell ref="C29:D29"/>
    <mergeCell ref="C30:D30"/>
    <mergeCell ref="C17:D17"/>
    <mergeCell ref="A19:E19"/>
    <mergeCell ref="A20:C20"/>
    <mergeCell ref="A23:E23"/>
    <mergeCell ref="A24"/>
    <mergeCell ref="A5:E5"/>
    <mergeCell ref="A6:E6"/>
    <mergeCell ref="A14:E14"/>
    <mergeCell ref="A15:E15"/>
    <mergeCell ref="C16:D16"/>
  </mergeCells>
  <hyperlinks>
    <hyperlink ref="A2" location="'13.8'!A1" display="13.8.16" xr:uid="{00000000-0004-0000-1100-000000000000}"/>
    <hyperlink ref="F2" location="'13.8.16E'!A1" display="67" xr:uid="{00000000-0004-0000-1100-000001000000}"/>
    <hyperlink ref="E11" location="'13.8.16E'!A1" display="'13.8.16E'!A1" xr:uid="{00000000-0004-0000-11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FCF8E3"/>
  </sheetPr>
  <dimension ref="A1:I20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8" t="s">
        <v>79</v>
      </c>
      <c r="B2" s="8" t="s">
        <v>80</v>
      </c>
      <c r="C2" s="8" t="s">
        <v>32</v>
      </c>
      <c r="D2" s="8" t="s">
        <v>81</v>
      </c>
      <c r="E2" s="8" t="s">
        <v>42</v>
      </c>
      <c r="F2" s="8" t="s">
        <v>203</v>
      </c>
      <c r="G2" s="8">
        <v>1.94</v>
      </c>
      <c r="H2" s="8">
        <v>2.3250900000000003</v>
      </c>
      <c r="I2" s="8">
        <v>51.151980000000009</v>
      </c>
    </row>
    <row r="5" spans="1:9">
      <c r="A5" s="16" t="s">
        <v>120</v>
      </c>
      <c r="B5" s="16" t="s">
        <v>120</v>
      </c>
      <c r="C5" s="16" t="s">
        <v>120</v>
      </c>
      <c r="D5" s="16" t="s">
        <v>120</v>
      </c>
      <c r="E5" s="16" t="s">
        <v>120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121</v>
      </c>
      <c r="C7" s="10" t="s">
        <v>122</v>
      </c>
      <c r="D7" s="10" t="s">
        <v>123</v>
      </c>
      <c r="E7" s="10" t="s">
        <v>9</v>
      </c>
    </row>
    <row r="8" spans="1:9">
      <c r="A8" s="11">
        <v>1</v>
      </c>
      <c r="B8" s="11" t="s">
        <v>124</v>
      </c>
      <c r="C8" s="11">
        <v>22</v>
      </c>
      <c r="D8" s="11" t="s">
        <v>204</v>
      </c>
      <c r="E8" s="11">
        <v>22</v>
      </c>
    </row>
    <row r="9" spans="1:9">
      <c r="A9" s="11" t="s">
        <v>126</v>
      </c>
      <c r="B9" s="11" t="s">
        <v>126</v>
      </c>
      <c r="C9" s="11">
        <f>SUBTOTAL(109,Criteria_Summary13.8.17[Elementos])</f>
        <v>22</v>
      </c>
      <c r="D9" s="11" t="s">
        <v>126</v>
      </c>
      <c r="E9" s="11">
        <f>SUBTOTAL(109,Criteria_Summary13.8.17[Total])</f>
        <v>22</v>
      </c>
    </row>
    <row r="10" spans="1:9">
      <c r="A10" s="12" t="s">
        <v>127</v>
      </c>
      <c r="B10" s="12">
        <v>0</v>
      </c>
      <c r="C10" s="13"/>
      <c r="D10" s="13"/>
      <c r="E10" s="12">
        <v>22</v>
      </c>
    </row>
    <row r="13" spans="1:9">
      <c r="A13" s="18" t="s">
        <v>204</v>
      </c>
      <c r="B13" s="18" t="s">
        <v>204</v>
      </c>
      <c r="C13" s="18" t="s">
        <v>204</v>
      </c>
      <c r="D13" s="18" t="s">
        <v>204</v>
      </c>
      <c r="E13" s="18" t="s">
        <v>204</v>
      </c>
    </row>
    <row r="14" spans="1:9">
      <c r="A14" s="19"/>
      <c r="B14" s="19"/>
      <c r="C14" s="19"/>
      <c r="D14" s="19"/>
      <c r="E14" s="19"/>
    </row>
    <row r="15" spans="1:9">
      <c r="A15" s="14" t="s">
        <v>121</v>
      </c>
      <c r="B15" s="14" t="s">
        <v>122</v>
      </c>
      <c r="C15" s="20" t="s">
        <v>128</v>
      </c>
      <c r="D15" s="20" t="s">
        <v>128</v>
      </c>
      <c r="E15" s="14" t="s">
        <v>9</v>
      </c>
    </row>
    <row r="16" spans="1:9">
      <c r="A16" s="11" t="s">
        <v>124</v>
      </c>
      <c r="B16" s="11">
        <v>22</v>
      </c>
      <c r="C16" s="21" t="s">
        <v>178</v>
      </c>
      <c r="D16" s="21" t="s">
        <v>178</v>
      </c>
      <c r="E16" s="11">
        <v>22</v>
      </c>
    </row>
    <row r="18" spans="1:5">
      <c r="A18" s="22" t="s">
        <v>135</v>
      </c>
      <c r="B18" s="22" t="s">
        <v>135</v>
      </c>
      <c r="C18" s="22" t="s">
        <v>135</v>
      </c>
      <c r="D18" s="22" t="s">
        <v>135</v>
      </c>
      <c r="E18" s="22" t="s">
        <v>135</v>
      </c>
    </row>
    <row r="19" spans="1:5">
      <c r="A19" s="20" t="s">
        <v>136</v>
      </c>
      <c r="B19" s="14"/>
      <c r="C19" s="14"/>
      <c r="D19" s="14" t="s">
        <v>121</v>
      </c>
      <c r="E19" s="14"/>
    </row>
    <row r="20" spans="1:5">
      <c r="A20" s="21" t="s">
        <v>201</v>
      </c>
      <c r="B20" s="21" t="s">
        <v>201</v>
      </c>
      <c r="C20" s="21" t="s">
        <v>201</v>
      </c>
      <c r="D20" s="11" t="s">
        <v>201</v>
      </c>
      <c r="E20" s="11" t="s">
        <v>134</v>
      </c>
    </row>
  </sheetData>
  <mergeCells count="9">
    <mergeCell ref="C16:D16"/>
    <mergeCell ref="A18:E18"/>
    <mergeCell ref="A19"/>
    <mergeCell ref="A20:C20"/>
    <mergeCell ref="A5:E5"/>
    <mergeCell ref="A6:E6"/>
    <mergeCell ref="A13:E13"/>
    <mergeCell ref="A14:E14"/>
    <mergeCell ref="C15:D15"/>
  </mergeCells>
  <hyperlinks>
    <hyperlink ref="A2" location="'13.8'!A1" display="13.8.17" xr:uid="{00000000-0004-0000-1200-000000000000}"/>
    <hyperlink ref="F2" location="'13.8.17E'!A1" display="22" xr:uid="{00000000-0004-0000-1200-000001000000}"/>
    <hyperlink ref="E10" location="'13.8.17E'!A1" display="'13.8.17E'!A1" xr:uid="{00000000-0004-0000-12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D8ECF6"/>
  </sheetPr>
  <dimension ref="A1:I2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4" t="s">
        <v>10</v>
      </c>
      <c r="B2" s="5"/>
      <c r="C2" s="5"/>
      <c r="D2" s="4" t="s">
        <v>11</v>
      </c>
      <c r="E2" s="5"/>
      <c r="F2" s="4">
        <v>1</v>
      </c>
      <c r="G2" s="5"/>
      <c r="H2" s="5"/>
      <c r="I2" s="4">
        <v>164921.16214384997</v>
      </c>
    </row>
  </sheetData>
  <hyperlinks>
    <hyperlink ref="A2" location="'Orçamento'!A1" display="13.8" xr:uid="{00000000-0004-0000-0100-000000000000}"/>
  </hyperlinks>
  <pageMargins left="0.511811024" right="0.511811024" top="0.78740157499999996" bottom="0.78740157499999996" header="0.31496062000000002" footer="0.3149606200000000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FCF8E3"/>
  </sheetPr>
  <dimension ref="A1:I24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8" t="s">
        <v>83</v>
      </c>
      <c r="B2" s="8" t="s">
        <v>84</v>
      </c>
      <c r="C2" s="8" t="s">
        <v>85</v>
      </c>
      <c r="D2" s="8" t="s">
        <v>86</v>
      </c>
      <c r="E2" s="8" t="s">
        <v>42</v>
      </c>
      <c r="F2" s="8" t="s">
        <v>205</v>
      </c>
      <c r="G2" s="8">
        <v>1219.1500000000001</v>
      </c>
      <c r="H2" s="8">
        <v>1461.1512750000002</v>
      </c>
      <c r="I2" s="8">
        <v>7305.7563750000008</v>
      </c>
    </row>
    <row r="5" spans="1:9">
      <c r="A5" s="16" t="s">
        <v>120</v>
      </c>
      <c r="B5" s="16" t="s">
        <v>120</v>
      </c>
      <c r="C5" s="16" t="s">
        <v>120</v>
      </c>
      <c r="D5" s="16" t="s">
        <v>120</v>
      </c>
      <c r="E5" s="16" t="s">
        <v>120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121</v>
      </c>
      <c r="C7" s="10" t="s">
        <v>122</v>
      </c>
      <c r="D7" s="10" t="s">
        <v>123</v>
      </c>
      <c r="E7" s="10" t="s">
        <v>9</v>
      </c>
    </row>
    <row r="8" spans="1:9">
      <c r="A8" s="11">
        <v>1</v>
      </c>
      <c r="B8" s="11" t="s">
        <v>124</v>
      </c>
      <c r="C8" s="11">
        <v>5</v>
      </c>
      <c r="D8" s="11" t="s">
        <v>187</v>
      </c>
      <c r="E8" s="11">
        <v>5</v>
      </c>
    </row>
    <row r="9" spans="1:9">
      <c r="A9" s="11" t="s">
        <v>126</v>
      </c>
      <c r="B9" s="11" t="s">
        <v>126</v>
      </c>
      <c r="C9" s="11">
        <f>SUBTOTAL(109,Criteria_Summary13.8.18[Elementos])</f>
        <v>5</v>
      </c>
      <c r="D9" s="11" t="s">
        <v>126</v>
      </c>
      <c r="E9" s="11">
        <f>SUBTOTAL(109,Criteria_Summary13.8.18[Total])</f>
        <v>5</v>
      </c>
    </row>
    <row r="10" spans="1:9">
      <c r="A10" s="12" t="s">
        <v>127</v>
      </c>
      <c r="B10" s="12">
        <v>0</v>
      </c>
      <c r="C10" s="13"/>
      <c r="D10" s="13"/>
      <c r="E10" s="12">
        <v>5</v>
      </c>
    </row>
    <row r="13" spans="1:9">
      <c r="A13" s="18" t="s">
        <v>187</v>
      </c>
      <c r="B13" s="18" t="s">
        <v>187</v>
      </c>
      <c r="C13" s="18" t="s">
        <v>187</v>
      </c>
      <c r="D13" s="18" t="s">
        <v>187</v>
      </c>
      <c r="E13" s="18" t="s">
        <v>187</v>
      </c>
    </row>
    <row r="14" spans="1:9">
      <c r="A14" s="19"/>
      <c r="B14" s="19"/>
      <c r="C14" s="19"/>
      <c r="D14" s="19"/>
      <c r="E14" s="19"/>
    </row>
    <row r="15" spans="1:9">
      <c r="A15" s="14" t="s">
        <v>121</v>
      </c>
      <c r="B15" s="14" t="s">
        <v>122</v>
      </c>
      <c r="C15" s="20" t="s">
        <v>128</v>
      </c>
      <c r="D15" s="20" t="s">
        <v>128</v>
      </c>
      <c r="E15" s="14" t="s">
        <v>9</v>
      </c>
    </row>
    <row r="16" spans="1:9">
      <c r="A16" s="11" t="s">
        <v>124</v>
      </c>
      <c r="B16" s="11">
        <v>5</v>
      </c>
      <c r="C16" s="21" t="s">
        <v>188</v>
      </c>
      <c r="D16" s="21" t="s">
        <v>188</v>
      </c>
      <c r="E16" s="11">
        <v>5</v>
      </c>
    </row>
    <row r="18" spans="1:5">
      <c r="A18" s="22" t="s">
        <v>130</v>
      </c>
      <c r="B18" s="22" t="s">
        <v>130</v>
      </c>
      <c r="C18" s="22" t="s">
        <v>130</v>
      </c>
      <c r="D18" s="22" t="s">
        <v>130</v>
      </c>
      <c r="E18" s="22" t="s">
        <v>130</v>
      </c>
    </row>
    <row r="19" spans="1:5">
      <c r="A19" s="20" t="s">
        <v>131</v>
      </c>
      <c r="B19" s="20" t="s">
        <v>131</v>
      </c>
      <c r="C19" s="20" t="s">
        <v>131</v>
      </c>
      <c r="D19" s="14" t="s">
        <v>132</v>
      </c>
      <c r="E19" s="14"/>
    </row>
    <row r="20" spans="1:5">
      <c r="A20" s="11"/>
      <c r="B20" s="11"/>
      <c r="C20" s="11"/>
      <c r="D20" s="11" t="s">
        <v>133</v>
      </c>
      <c r="E20" s="11" t="s">
        <v>134</v>
      </c>
    </row>
    <row r="22" spans="1:5">
      <c r="A22" s="22" t="s">
        <v>135</v>
      </c>
      <c r="B22" s="22" t="s">
        <v>135</v>
      </c>
      <c r="C22" s="22" t="s">
        <v>135</v>
      </c>
      <c r="D22" s="22" t="s">
        <v>135</v>
      </c>
      <c r="E22" s="22" t="s">
        <v>135</v>
      </c>
    </row>
    <row r="23" spans="1:5">
      <c r="A23" s="20" t="s">
        <v>136</v>
      </c>
      <c r="B23" s="14"/>
      <c r="C23" s="14"/>
      <c r="D23" s="14" t="s">
        <v>121</v>
      </c>
      <c r="E23" s="14"/>
    </row>
    <row r="24" spans="1:5">
      <c r="A24" s="21" t="s">
        <v>206</v>
      </c>
      <c r="B24" s="21" t="s">
        <v>206</v>
      </c>
      <c r="C24" s="21" t="s">
        <v>206</v>
      </c>
      <c r="D24" s="11" t="s">
        <v>207</v>
      </c>
      <c r="E24" s="11" t="s">
        <v>134</v>
      </c>
    </row>
  </sheetData>
  <mergeCells count="11">
    <mergeCell ref="A24:C24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8'!A1" display="13.8.18" xr:uid="{00000000-0004-0000-1300-000000000000}"/>
    <hyperlink ref="F2" location="'13.8.18E'!A1" display="5" xr:uid="{00000000-0004-0000-1300-000001000000}"/>
    <hyperlink ref="E10" location="'13.8.18E'!A1" display="'13.8.18E'!A1" xr:uid="{00000000-0004-0000-13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FCF8E3"/>
  </sheetPr>
  <dimension ref="A1:I21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8" t="s">
        <v>88</v>
      </c>
      <c r="B2" s="8" t="s">
        <v>89</v>
      </c>
      <c r="C2" s="8" t="s">
        <v>32</v>
      </c>
      <c r="D2" s="8" t="s">
        <v>90</v>
      </c>
      <c r="E2" s="8" t="s">
        <v>42</v>
      </c>
      <c r="F2" s="8" t="s">
        <v>208</v>
      </c>
      <c r="G2" s="8">
        <v>1.87</v>
      </c>
      <c r="H2" s="8">
        <v>2.2411950000000003</v>
      </c>
      <c r="I2" s="8">
        <v>165.84843000000001</v>
      </c>
    </row>
    <row r="5" spans="1:9">
      <c r="A5" s="16" t="s">
        <v>120</v>
      </c>
      <c r="B5" s="16" t="s">
        <v>120</v>
      </c>
      <c r="C5" s="16" t="s">
        <v>120</v>
      </c>
      <c r="D5" s="16" t="s">
        <v>120</v>
      </c>
      <c r="E5" s="16" t="s">
        <v>120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121</v>
      </c>
      <c r="C7" s="10" t="s">
        <v>122</v>
      </c>
      <c r="D7" s="10" t="s">
        <v>123</v>
      </c>
      <c r="E7" s="10" t="s">
        <v>9</v>
      </c>
    </row>
    <row r="8" spans="1:9">
      <c r="A8" s="11">
        <v>1</v>
      </c>
      <c r="B8" s="11" t="s">
        <v>124</v>
      </c>
      <c r="C8" s="11">
        <v>74</v>
      </c>
      <c r="D8" s="11" t="s">
        <v>209</v>
      </c>
      <c r="E8" s="11">
        <v>74</v>
      </c>
    </row>
    <row r="9" spans="1:9">
      <c r="A9" s="11" t="s">
        <v>126</v>
      </c>
      <c r="B9" s="11" t="s">
        <v>126</v>
      </c>
      <c r="C9" s="11">
        <f>SUBTOTAL(109,Criteria_Summary13.8.19[Elementos])</f>
        <v>74</v>
      </c>
      <c r="D9" s="11" t="s">
        <v>126</v>
      </c>
      <c r="E9" s="11">
        <f>SUBTOTAL(109,Criteria_Summary13.8.19[Total])</f>
        <v>74</v>
      </c>
    </row>
    <row r="10" spans="1:9">
      <c r="A10" s="12" t="s">
        <v>127</v>
      </c>
      <c r="B10" s="12">
        <v>0</v>
      </c>
      <c r="C10" s="13"/>
      <c r="D10" s="13"/>
      <c r="E10" s="12">
        <v>74</v>
      </c>
    </row>
    <row r="13" spans="1:9">
      <c r="A13" s="18" t="s">
        <v>209</v>
      </c>
      <c r="B13" s="18" t="s">
        <v>209</v>
      </c>
      <c r="C13" s="18" t="s">
        <v>209</v>
      </c>
      <c r="D13" s="18" t="s">
        <v>209</v>
      </c>
      <c r="E13" s="18" t="s">
        <v>209</v>
      </c>
    </row>
    <row r="14" spans="1:9">
      <c r="A14" s="19"/>
      <c r="B14" s="19"/>
      <c r="C14" s="19"/>
      <c r="D14" s="19"/>
      <c r="E14" s="19"/>
    </row>
    <row r="15" spans="1:9">
      <c r="A15" s="14" t="s">
        <v>121</v>
      </c>
      <c r="B15" s="14" t="s">
        <v>122</v>
      </c>
      <c r="C15" s="20" t="s">
        <v>128</v>
      </c>
      <c r="D15" s="20" t="s">
        <v>128</v>
      </c>
      <c r="E15" s="14" t="s">
        <v>9</v>
      </c>
    </row>
    <row r="16" spans="1:9">
      <c r="A16" s="11" t="s">
        <v>124</v>
      </c>
      <c r="B16" s="11">
        <v>74</v>
      </c>
      <c r="C16" s="21" t="s">
        <v>188</v>
      </c>
      <c r="D16" s="21" t="s">
        <v>188</v>
      </c>
      <c r="E16" s="11">
        <v>74</v>
      </c>
    </row>
    <row r="18" spans="1:5">
      <c r="A18" s="22" t="s">
        <v>135</v>
      </c>
      <c r="B18" s="22" t="s">
        <v>135</v>
      </c>
      <c r="C18" s="22" t="s">
        <v>135</v>
      </c>
      <c r="D18" s="22" t="s">
        <v>135</v>
      </c>
      <c r="E18" s="22" t="s">
        <v>135</v>
      </c>
    </row>
    <row r="19" spans="1:5">
      <c r="A19" s="20" t="s">
        <v>136</v>
      </c>
      <c r="B19" s="14"/>
      <c r="C19" s="14"/>
      <c r="D19" s="14" t="s">
        <v>121</v>
      </c>
      <c r="E19" s="14"/>
    </row>
    <row r="20" spans="1:5">
      <c r="A20" s="21" t="s">
        <v>210</v>
      </c>
      <c r="B20" s="21" t="s">
        <v>210</v>
      </c>
      <c r="C20" s="21" t="s">
        <v>210</v>
      </c>
      <c r="D20" s="11" t="s">
        <v>210</v>
      </c>
      <c r="E20" s="11" t="s">
        <v>134</v>
      </c>
    </row>
    <row r="21" spans="1:5">
      <c r="A21" s="21" t="s">
        <v>211</v>
      </c>
      <c r="B21" s="21" t="s">
        <v>211</v>
      </c>
      <c r="C21" s="21" t="s">
        <v>211</v>
      </c>
      <c r="D21" s="11" t="s">
        <v>212</v>
      </c>
      <c r="E21" s="11" t="s">
        <v>134</v>
      </c>
    </row>
  </sheetData>
  <mergeCells count="10">
    <mergeCell ref="C16:D16"/>
    <mergeCell ref="A18:E18"/>
    <mergeCell ref="A19"/>
    <mergeCell ref="A20:C20"/>
    <mergeCell ref="A21:C21"/>
    <mergeCell ref="A5:E5"/>
    <mergeCell ref="A6:E6"/>
    <mergeCell ref="A13:E13"/>
    <mergeCell ref="A14:E14"/>
    <mergeCell ref="C15:D15"/>
  </mergeCells>
  <hyperlinks>
    <hyperlink ref="A2" location="'13.8'!A1" display="13.8.19" xr:uid="{00000000-0004-0000-1400-000000000000}"/>
    <hyperlink ref="F2" location="'13.8.19E'!A1" display="74" xr:uid="{00000000-0004-0000-1400-000001000000}"/>
    <hyperlink ref="E10" location="'13.8.19E'!A1" display="'13.8.19E'!A1" xr:uid="{00000000-0004-0000-14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rgb="FFFCF8E3"/>
  </sheetPr>
  <dimension ref="A1:I29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 ht="36.75">
      <c r="A2" s="8" t="s">
        <v>92</v>
      </c>
      <c r="B2" s="8" t="s">
        <v>93</v>
      </c>
      <c r="C2" s="8" t="s">
        <v>85</v>
      </c>
      <c r="D2" s="8" t="s">
        <v>94</v>
      </c>
      <c r="E2" s="8" t="s">
        <v>42</v>
      </c>
      <c r="F2" s="8" t="s">
        <v>213</v>
      </c>
      <c r="G2" s="8">
        <v>225.86</v>
      </c>
      <c r="H2" s="8">
        <v>270.69321000000002</v>
      </c>
      <c r="I2" s="8">
        <v>12722.580870000002</v>
      </c>
    </row>
    <row r="5" spans="1:9">
      <c r="A5" s="16" t="s">
        <v>120</v>
      </c>
      <c r="B5" s="16" t="s">
        <v>120</v>
      </c>
      <c r="C5" s="16" t="s">
        <v>120</v>
      </c>
      <c r="D5" s="16" t="s">
        <v>120</v>
      </c>
      <c r="E5" s="16" t="s">
        <v>120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121</v>
      </c>
      <c r="C7" s="10" t="s">
        <v>122</v>
      </c>
      <c r="D7" s="10" t="s">
        <v>123</v>
      </c>
      <c r="E7" s="10" t="s">
        <v>9</v>
      </c>
    </row>
    <row r="8" spans="1:9">
      <c r="A8" s="11">
        <v>1</v>
      </c>
      <c r="B8" s="11" t="s">
        <v>124</v>
      </c>
      <c r="C8" s="11">
        <v>47</v>
      </c>
      <c r="D8" s="11" t="s">
        <v>214</v>
      </c>
      <c r="E8" s="11">
        <v>47</v>
      </c>
    </row>
    <row r="9" spans="1:9">
      <c r="A9" s="11" t="s">
        <v>126</v>
      </c>
      <c r="B9" s="11" t="s">
        <v>126</v>
      </c>
      <c r="C9" s="11">
        <f>SUBTOTAL(109,Criteria_Summary13.8.20[Elementos])</f>
        <v>47</v>
      </c>
      <c r="D9" s="11" t="s">
        <v>126</v>
      </c>
      <c r="E9" s="11">
        <f>SUBTOTAL(109,Criteria_Summary13.8.20[Total])</f>
        <v>47</v>
      </c>
    </row>
    <row r="10" spans="1:9">
      <c r="A10" s="12" t="s">
        <v>127</v>
      </c>
      <c r="B10" s="12">
        <v>0</v>
      </c>
      <c r="C10" s="13"/>
      <c r="D10" s="13"/>
      <c r="E10" s="12">
        <v>47</v>
      </c>
    </row>
    <row r="13" spans="1:9">
      <c r="A13" s="18" t="s">
        <v>214</v>
      </c>
      <c r="B13" s="18" t="s">
        <v>214</v>
      </c>
      <c r="C13" s="18" t="s">
        <v>214</v>
      </c>
      <c r="D13" s="18" t="s">
        <v>214</v>
      </c>
      <c r="E13" s="18" t="s">
        <v>214</v>
      </c>
    </row>
    <row r="14" spans="1:9">
      <c r="A14" s="19"/>
      <c r="B14" s="19"/>
      <c r="C14" s="19"/>
      <c r="D14" s="19"/>
      <c r="E14" s="19"/>
    </row>
    <row r="15" spans="1:9">
      <c r="A15" s="14" t="s">
        <v>121</v>
      </c>
      <c r="B15" s="14" t="s">
        <v>122</v>
      </c>
      <c r="C15" s="20" t="s">
        <v>128</v>
      </c>
      <c r="D15" s="20" t="s">
        <v>128</v>
      </c>
      <c r="E15" s="14" t="s">
        <v>9</v>
      </c>
    </row>
    <row r="16" spans="1:9">
      <c r="A16" s="11" t="s">
        <v>124</v>
      </c>
      <c r="B16" s="11">
        <v>47</v>
      </c>
      <c r="C16" s="21" t="s">
        <v>169</v>
      </c>
      <c r="D16" s="21" t="s">
        <v>169</v>
      </c>
      <c r="E16" s="11">
        <v>47</v>
      </c>
    </row>
    <row r="18" spans="1:5">
      <c r="A18" s="22" t="s">
        <v>130</v>
      </c>
      <c r="B18" s="22" t="s">
        <v>130</v>
      </c>
      <c r="C18" s="22" t="s">
        <v>130</v>
      </c>
      <c r="D18" s="22" t="s">
        <v>130</v>
      </c>
      <c r="E18" s="22" t="s">
        <v>130</v>
      </c>
    </row>
    <row r="19" spans="1:5">
      <c r="A19" s="20" t="s">
        <v>131</v>
      </c>
      <c r="B19" s="20" t="s">
        <v>131</v>
      </c>
      <c r="C19" s="20" t="s">
        <v>131</v>
      </c>
      <c r="D19" s="14" t="s">
        <v>132</v>
      </c>
      <c r="E19" s="14"/>
    </row>
    <row r="20" spans="1:5">
      <c r="A20" s="11"/>
      <c r="B20" s="11"/>
      <c r="C20" s="11"/>
      <c r="D20" s="11" t="s">
        <v>133</v>
      </c>
      <c r="E20" s="11" t="s">
        <v>134</v>
      </c>
    </row>
    <row r="22" spans="1:5">
      <c r="A22" s="22" t="s">
        <v>135</v>
      </c>
      <c r="B22" s="22" t="s">
        <v>135</v>
      </c>
      <c r="C22" s="22" t="s">
        <v>135</v>
      </c>
      <c r="D22" s="22" t="s">
        <v>135</v>
      </c>
      <c r="E22" s="22" t="s">
        <v>135</v>
      </c>
    </row>
    <row r="23" spans="1:5">
      <c r="A23" s="20" t="s">
        <v>136</v>
      </c>
      <c r="B23" s="14"/>
      <c r="C23" s="14"/>
      <c r="D23" s="14" t="s">
        <v>121</v>
      </c>
      <c r="E23" s="14"/>
    </row>
    <row r="24" spans="1:5">
      <c r="A24" s="21" t="s">
        <v>159</v>
      </c>
      <c r="B24" s="21" t="s">
        <v>159</v>
      </c>
      <c r="C24" s="21" t="s">
        <v>159</v>
      </c>
      <c r="D24" s="11" t="s">
        <v>160</v>
      </c>
      <c r="E24" s="11" t="s">
        <v>134</v>
      </c>
    </row>
    <row r="25" spans="1:5">
      <c r="A25" s="21" t="s">
        <v>154</v>
      </c>
      <c r="B25" s="21" t="s">
        <v>154</v>
      </c>
      <c r="C25" s="21" t="s">
        <v>154</v>
      </c>
      <c r="D25" s="11" t="s">
        <v>155</v>
      </c>
      <c r="E25" s="11" t="s">
        <v>134</v>
      </c>
    </row>
    <row r="27" spans="1:5">
      <c r="A27" s="22" t="s">
        <v>139</v>
      </c>
      <c r="B27" s="22" t="s">
        <v>139</v>
      </c>
      <c r="C27" s="22" t="s">
        <v>139</v>
      </c>
      <c r="D27" s="22" t="s">
        <v>139</v>
      </c>
      <c r="E27" s="22" t="s">
        <v>139</v>
      </c>
    </row>
    <row r="28" spans="1:5">
      <c r="A28" s="14" t="s">
        <v>121</v>
      </c>
      <c r="B28" s="14" t="s">
        <v>140</v>
      </c>
      <c r="C28" s="14" t="s">
        <v>141</v>
      </c>
      <c r="D28" s="14" t="s">
        <v>142</v>
      </c>
      <c r="E28" s="14"/>
    </row>
    <row r="29" spans="1:5">
      <c r="A29" s="11" t="s">
        <v>143</v>
      </c>
      <c r="B29" s="11" t="s">
        <v>215</v>
      </c>
      <c r="C29" s="11" t="s">
        <v>216</v>
      </c>
      <c r="D29" s="11" t="s">
        <v>217</v>
      </c>
      <c r="E29" s="11" t="s">
        <v>147</v>
      </c>
    </row>
  </sheetData>
  <mergeCells count="13">
    <mergeCell ref="A24:C24"/>
    <mergeCell ref="A25:C25"/>
    <mergeCell ref="A27:E27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8'!A1" display="13.8.20" xr:uid="{00000000-0004-0000-1500-000000000000}"/>
    <hyperlink ref="F2" location="'13.8.20E'!A1" display="47" xr:uid="{00000000-0004-0000-1500-000001000000}"/>
    <hyperlink ref="E10" location="'13.8.20E'!A1" display="'13.8.20E'!A1" xr:uid="{00000000-0004-0000-15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FCF8E3"/>
  </sheetPr>
  <dimension ref="A1:I24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 ht="24.75">
      <c r="A2" s="8" t="s">
        <v>96</v>
      </c>
      <c r="B2" s="8" t="s">
        <v>97</v>
      </c>
      <c r="C2" s="8" t="s">
        <v>85</v>
      </c>
      <c r="D2" s="8" t="s">
        <v>98</v>
      </c>
      <c r="E2" s="8" t="s">
        <v>42</v>
      </c>
      <c r="F2" s="8" t="s">
        <v>218</v>
      </c>
      <c r="G2" s="8">
        <v>124.74</v>
      </c>
      <c r="H2" s="8">
        <v>149.50089</v>
      </c>
      <c r="I2" s="8">
        <v>299.00178</v>
      </c>
    </row>
    <row r="5" spans="1:9">
      <c r="A5" s="16" t="s">
        <v>120</v>
      </c>
      <c r="B5" s="16" t="s">
        <v>120</v>
      </c>
      <c r="C5" s="16" t="s">
        <v>120</v>
      </c>
      <c r="D5" s="16" t="s">
        <v>120</v>
      </c>
      <c r="E5" s="16" t="s">
        <v>120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121</v>
      </c>
      <c r="C7" s="10" t="s">
        <v>122</v>
      </c>
      <c r="D7" s="10" t="s">
        <v>123</v>
      </c>
      <c r="E7" s="10" t="s">
        <v>9</v>
      </c>
    </row>
    <row r="8" spans="1:9">
      <c r="A8" s="11">
        <v>1</v>
      </c>
      <c r="B8" s="11" t="s">
        <v>124</v>
      </c>
      <c r="C8" s="11">
        <v>2</v>
      </c>
      <c r="D8" s="11" t="s">
        <v>163</v>
      </c>
      <c r="E8" s="11">
        <v>2</v>
      </c>
    </row>
    <row r="9" spans="1:9">
      <c r="A9" s="11" t="s">
        <v>126</v>
      </c>
      <c r="B9" s="11" t="s">
        <v>126</v>
      </c>
      <c r="C9" s="11">
        <f>SUBTOTAL(109,Criteria_Summary13.8.21[Elementos])</f>
        <v>2</v>
      </c>
      <c r="D9" s="11" t="s">
        <v>126</v>
      </c>
      <c r="E9" s="11">
        <f>SUBTOTAL(109,Criteria_Summary13.8.21[Total])</f>
        <v>2</v>
      </c>
    </row>
    <row r="10" spans="1:9">
      <c r="A10" s="12" t="s">
        <v>127</v>
      </c>
      <c r="B10" s="12">
        <v>0</v>
      </c>
      <c r="C10" s="13"/>
      <c r="D10" s="13"/>
      <c r="E10" s="12">
        <v>2</v>
      </c>
    </row>
    <row r="13" spans="1:9">
      <c r="A13" s="18" t="s">
        <v>163</v>
      </c>
      <c r="B13" s="18" t="s">
        <v>163</v>
      </c>
      <c r="C13" s="18" t="s">
        <v>163</v>
      </c>
      <c r="D13" s="18" t="s">
        <v>163</v>
      </c>
      <c r="E13" s="18" t="s">
        <v>163</v>
      </c>
    </row>
    <row r="14" spans="1:9">
      <c r="A14" s="19"/>
      <c r="B14" s="19"/>
      <c r="C14" s="19"/>
      <c r="D14" s="19"/>
      <c r="E14" s="19"/>
    </row>
    <row r="15" spans="1:9">
      <c r="A15" s="14" t="s">
        <v>121</v>
      </c>
      <c r="B15" s="14" t="s">
        <v>122</v>
      </c>
      <c r="C15" s="20" t="s">
        <v>128</v>
      </c>
      <c r="D15" s="20" t="s">
        <v>128</v>
      </c>
      <c r="E15" s="14" t="s">
        <v>9</v>
      </c>
    </row>
    <row r="16" spans="1:9">
      <c r="A16" s="11" t="s">
        <v>124</v>
      </c>
      <c r="B16" s="11">
        <v>2</v>
      </c>
      <c r="C16" s="21" t="s">
        <v>164</v>
      </c>
      <c r="D16" s="21" t="s">
        <v>164</v>
      </c>
      <c r="E16" s="11">
        <v>2</v>
      </c>
    </row>
    <row r="18" spans="1:5">
      <c r="A18" s="22" t="s">
        <v>130</v>
      </c>
      <c r="B18" s="22" t="s">
        <v>130</v>
      </c>
      <c r="C18" s="22" t="s">
        <v>130</v>
      </c>
      <c r="D18" s="22" t="s">
        <v>130</v>
      </c>
      <c r="E18" s="22" t="s">
        <v>130</v>
      </c>
    </row>
    <row r="19" spans="1:5">
      <c r="A19" s="20" t="s">
        <v>131</v>
      </c>
      <c r="B19" s="20" t="s">
        <v>131</v>
      </c>
      <c r="C19" s="20" t="s">
        <v>131</v>
      </c>
      <c r="D19" s="14" t="s">
        <v>132</v>
      </c>
      <c r="E19" s="14"/>
    </row>
    <row r="20" spans="1:5">
      <c r="A20" s="11"/>
      <c r="B20" s="11"/>
      <c r="C20" s="11"/>
      <c r="D20" s="11" t="s">
        <v>133</v>
      </c>
      <c r="E20" s="11" t="s">
        <v>134</v>
      </c>
    </row>
    <row r="22" spans="1:5">
      <c r="A22" s="22" t="s">
        <v>135</v>
      </c>
      <c r="B22" s="22" t="s">
        <v>135</v>
      </c>
      <c r="C22" s="22" t="s">
        <v>135</v>
      </c>
      <c r="D22" s="22" t="s">
        <v>135</v>
      </c>
      <c r="E22" s="22" t="s">
        <v>135</v>
      </c>
    </row>
    <row r="23" spans="1:5">
      <c r="A23" s="20" t="s">
        <v>136</v>
      </c>
      <c r="B23" s="14"/>
      <c r="C23" s="14"/>
      <c r="D23" s="14" t="s">
        <v>121</v>
      </c>
      <c r="E23" s="14"/>
    </row>
    <row r="24" spans="1:5">
      <c r="A24" s="21" t="s">
        <v>183</v>
      </c>
      <c r="B24" s="21" t="s">
        <v>183</v>
      </c>
      <c r="C24" s="21" t="s">
        <v>183</v>
      </c>
      <c r="D24" s="11" t="s">
        <v>219</v>
      </c>
      <c r="E24" s="11" t="s">
        <v>134</v>
      </c>
    </row>
  </sheetData>
  <mergeCells count="11">
    <mergeCell ref="A24:C24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8'!A1" display="13.8.21" xr:uid="{00000000-0004-0000-1600-000000000000}"/>
    <hyperlink ref="F2" location="'13.8.21E'!A1" display="2" xr:uid="{00000000-0004-0000-1600-000001000000}"/>
    <hyperlink ref="E10" location="'13.8.21E'!A1" display="'13.8.21E'!A1" xr:uid="{00000000-0004-0000-16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rgb="FFDFF0D8"/>
  </sheetPr>
  <dimension ref="A1:I24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6" t="s">
        <v>100</v>
      </c>
      <c r="B2" s="6" t="s">
        <v>101</v>
      </c>
      <c r="C2" s="6" t="s">
        <v>32</v>
      </c>
      <c r="D2" s="6" t="s">
        <v>102</v>
      </c>
      <c r="E2" s="6" t="s">
        <v>42</v>
      </c>
      <c r="F2" s="6" t="s">
        <v>218</v>
      </c>
      <c r="G2" s="6">
        <v>2749.5949232497601</v>
      </c>
      <c r="H2" s="6">
        <v>3295.389515514838</v>
      </c>
      <c r="I2" s="6">
        <v>6590.7790310296759</v>
      </c>
    </row>
    <row r="5" spans="1:9">
      <c r="A5" s="16" t="s">
        <v>120</v>
      </c>
      <c r="B5" s="16" t="s">
        <v>120</v>
      </c>
      <c r="C5" s="16" t="s">
        <v>120</v>
      </c>
      <c r="D5" s="16" t="s">
        <v>120</v>
      </c>
      <c r="E5" s="16" t="s">
        <v>120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121</v>
      </c>
      <c r="C7" s="10" t="s">
        <v>122</v>
      </c>
      <c r="D7" s="10" t="s">
        <v>123</v>
      </c>
      <c r="E7" s="10" t="s">
        <v>9</v>
      </c>
    </row>
    <row r="8" spans="1:9">
      <c r="A8" s="11">
        <v>1</v>
      </c>
      <c r="B8" s="11" t="s">
        <v>124</v>
      </c>
      <c r="C8" s="11">
        <v>2</v>
      </c>
      <c r="D8" s="11" t="s">
        <v>163</v>
      </c>
      <c r="E8" s="11">
        <v>2</v>
      </c>
    </row>
    <row r="9" spans="1:9">
      <c r="A9" s="11" t="s">
        <v>126</v>
      </c>
      <c r="B9" s="11" t="s">
        <v>126</v>
      </c>
      <c r="C9" s="11">
        <f>SUBTOTAL(109,Criteria_Summary13.8.22[Elementos])</f>
        <v>2</v>
      </c>
      <c r="D9" s="11" t="s">
        <v>126</v>
      </c>
      <c r="E9" s="11">
        <f>SUBTOTAL(109,Criteria_Summary13.8.22[Total])</f>
        <v>2</v>
      </c>
    </row>
    <row r="10" spans="1:9">
      <c r="A10" s="12" t="s">
        <v>127</v>
      </c>
      <c r="B10" s="12">
        <v>0</v>
      </c>
      <c r="C10" s="13"/>
      <c r="D10" s="13"/>
      <c r="E10" s="12">
        <v>2</v>
      </c>
    </row>
    <row r="13" spans="1:9">
      <c r="A13" s="18" t="s">
        <v>163</v>
      </c>
      <c r="B13" s="18" t="s">
        <v>163</v>
      </c>
      <c r="C13" s="18" t="s">
        <v>163</v>
      </c>
      <c r="D13" s="18" t="s">
        <v>163</v>
      </c>
      <c r="E13" s="18" t="s">
        <v>163</v>
      </c>
    </row>
    <row r="14" spans="1:9">
      <c r="A14" s="19"/>
      <c r="B14" s="19"/>
      <c r="C14" s="19"/>
      <c r="D14" s="19"/>
      <c r="E14" s="19"/>
    </row>
    <row r="15" spans="1:9">
      <c r="A15" s="14" t="s">
        <v>121</v>
      </c>
      <c r="B15" s="14" t="s">
        <v>122</v>
      </c>
      <c r="C15" s="20" t="s">
        <v>128</v>
      </c>
      <c r="D15" s="20" t="s">
        <v>128</v>
      </c>
      <c r="E15" s="14" t="s">
        <v>9</v>
      </c>
    </row>
    <row r="16" spans="1:9">
      <c r="A16" s="11" t="s">
        <v>124</v>
      </c>
      <c r="B16" s="11">
        <v>2</v>
      </c>
      <c r="C16" s="21" t="s">
        <v>164</v>
      </c>
      <c r="D16" s="21" t="s">
        <v>164</v>
      </c>
      <c r="E16" s="11">
        <v>2</v>
      </c>
    </row>
    <row r="18" spans="1:5">
      <c r="A18" s="22" t="s">
        <v>130</v>
      </c>
      <c r="B18" s="22" t="s">
        <v>130</v>
      </c>
      <c r="C18" s="22" t="s">
        <v>130</v>
      </c>
      <c r="D18" s="22" t="s">
        <v>130</v>
      </c>
      <c r="E18" s="22" t="s">
        <v>130</v>
      </c>
    </row>
    <row r="19" spans="1:5">
      <c r="A19" s="20" t="s">
        <v>131</v>
      </c>
      <c r="B19" s="20" t="s">
        <v>131</v>
      </c>
      <c r="C19" s="20" t="s">
        <v>131</v>
      </c>
      <c r="D19" s="14" t="s">
        <v>132</v>
      </c>
      <c r="E19" s="14"/>
    </row>
    <row r="20" spans="1:5">
      <c r="A20" s="11"/>
      <c r="B20" s="11"/>
      <c r="C20" s="11"/>
      <c r="D20" s="11" t="s">
        <v>133</v>
      </c>
      <c r="E20" s="11" t="s">
        <v>134</v>
      </c>
    </row>
    <row r="22" spans="1:5">
      <c r="A22" s="22" t="s">
        <v>135</v>
      </c>
      <c r="B22" s="22" t="s">
        <v>135</v>
      </c>
      <c r="C22" s="22" t="s">
        <v>135</v>
      </c>
      <c r="D22" s="22" t="s">
        <v>135</v>
      </c>
      <c r="E22" s="22" t="s">
        <v>135</v>
      </c>
    </row>
    <row r="23" spans="1:5">
      <c r="A23" s="20" t="s">
        <v>136</v>
      </c>
      <c r="B23" s="14"/>
      <c r="C23" s="14"/>
      <c r="D23" s="14" t="s">
        <v>121</v>
      </c>
      <c r="E23" s="14"/>
    </row>
    <row r="24" spans="1:5">
      <c r="A24" s="21" t="s">
        <v>220</v>
      </c>
      <c r="B24" s="21" t="s">
        <v>220</v>
      </c>
      <c r="C24" s="21" t="s">
        <v>220</v>
      </c>
      <c r="D24" s="11" t="s">
        <v>221</v>
      </c>
      <c r="E24" s="11" t="s">
        <v>134</v>
      </c>
    </row>
  </sheetData>
  <mergeCells count="11">
    <mergeCell ref="A24:C24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8'!A1" display="13.8.22" xr:uid="{00000000-0004-0000-1700-000000000000}"/>
    <hyperlink ref="F2" location="'13.8.22E'!A1" display="2" xr:uid="{00000000-0004-0000-1700-000001000000}"/>
    <hyperlink ref="E10" location="'13.8.22E'!A1" display="'13.8.22E'!A1" xr:uid="{00000000-0004-0000-17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rgb="FFFCF8E3"/>
  </sheetPr>
  <dimension ref="A1:I24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 ht="36.75">
      <c r="A2" s="8" t="s">
        <v>103</v>
      </c>
      <c r="B2" s="8" t="s">
        <v>104</v>
      </c>
      <c r="C2" s="8" t="s">
        <v>85</v>
      </c>
      <c r="D2" s="8" t="s">
        <v>105</v>
      </c>
      <c r="E2" s="8" t="s">
        <v>42</v>
      </c>
      <c r="F2" s="8" t="s">
        <v>218</v>
      </c>
      <c r="G2" s="8">
        <v>290.79000000000002</v>
      </c>
      <c r="H2" s="8">
        <v>348.51181500000007</v>
      </c>
      <c r="I2" s="8">
        <v>697.02363000000014</v>
      </c>
    </row>
    <row r="5" spans="1:9">
      <c r="A5" s="16" t="s">
        <v>120</v>
      </c>
      <c r="B5" s="16" t="s">
        <v>120</v>
      </c>
      <c r="C5" s="16" t="s">
        <v>120</v>
      </c>
      <c r="D5" s="16" t="s">
        <v>120</v>
      </c>
      <c r="E5" s="16" t="s">
        <v>120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121</v>
      </c>
      <c r="C7" s="10" t="s">
        <v>122</v>
      </c>
      <c r="D7" s="10" t="s">
        <v>123</v>
      </c>
      <c r="E7" s="10" t="s">
        <v>9</v>
      </c>
    </row>
    <row r="8" spans="1:9">
      <c r="A8" s="11">
        <v>1</v>
      </c>
      <c r="B8" s="11" t="s">
        <v>124</v>
      </c>
      <c r="C8" s="11">
        <v>2</v>
      </c>
      <c r="D8" s="11" t="s">
        <v>163</v>
      </c>
      <c r="E8" s="11">
        <v>2</v>
      </c>
    </row>
    <row r="9" spans="1:9">
      <c r="A9" s="11" t="s">
        <v>126</v>
      </c>
      <c r="B9" s="11" t="s">
        <v>126</v>
      </c>
      <c r="C9" s="11">
        <f>SUBTOTAL(109,Criteria_Summary13.8.23[Elementos])</f>
        <v>2</v>
      </c>
      <c r="D9" s="11" t="s">
        <v>126</v>
      </c>
      <c r="E9" s="11">
        <f>SUBTOTAL(109,Criteria_Summary13.8.23[Total])</f>
        <v>2</v>
      </c>
    </row>
    <row r="10" spans="1:9">
      <c r="A10" s="12" t="s">
        <v>127</v>
      </c>
      <c r="B10" s="12">
        <v>0</v>
      </c>
      <c r="C10" s="13"/>
      <c r="D10" s="13"/>
      <c r="E10" s="12">
        <v>2</v>
      </c>
    </row>
    <row r="13" spans="1:9">
      <c r="A13" s="18" t="s">
        <v>163</v>
      </c>
      <c r="B13" s="18" t="s">
        <v>163</v>
      </c>
      <c r="C13" s="18" t="s">
        <v>163</v>
      </c>
      <c r="D13" s="18" t="s">
        <v>163</v>
      </c>
      <c r="E13" s="18" t="s">
        <v>163</v>
      </c>
    </row>
    <row r="14" spans="1:9">
      <c r="A14" s="19"/>
      <c r="B14" s="19"/>
      <c r="C14" s="19"/>
      <c r="D14" s="19"/>
      <c r="E14" s="19"/>
    </row>
    <row r="15" spans="1:9">
      <c r="A15" s="14" t="s">
        <v>121</v>
      </c>
      <c r="B15" s="14" t="s">
        <v>122</v>
      </c>
      <c r="C15" s="20" t="s">
        <v>128</v>
      </c>
      <c r="D15" s="20" t="s">
        <v>128</v>
      </c>
      <c r="E15" s="14" t="s">
        <v>9</v>
      </c>
    </row>
    <row r="16" spans="1:9">
      <c r="A16" s="11" t="s">
        <v>124</v>
      </c>
      <c r="B16" s="11">
        <v>2</v>
      </c>
      <c r="C16" s="21" t="s">
        <v>164</v>
      </c>
      <c r="D16" s="21" t="s">
        <v>164</v>
      </c>
      <c r="E16" s="11">
        <v>2</v>
      </c>
    </row>
    <row r="18" spans="1:5">
      <c r="A18" s="22" t="s">
        <v>130</v>
      </c>
      <c r="B18" s="22" t="s">
        <v>130</v>
      </c>
      <c r="C18" s="22" t="s">
        <v>130</v>
      </c>
      <c r="D18" s="22" t="s">
        <v>130</v>
      </c>
      <c r="E18" s="22" t="s">
        <v>130</v>
      </c>
    </row>
    <row r="19" spans="1:5">
      <c r="A19" s="20" t="s">
        <v>131</v>
      </c>
      <c r="B19" s="20" t="s">
        <v>131</v>
      </c>
      <c r="C19" s="20" t="s">
        <v>131</v>
      </c>
      <c r="D19" s="14" t="s">
        <v>132</v>
      </c>
      <c r="E19" s="14"/>
    </row>
    <row r="20" spans="1:5">
      <c r="A20" s="11"/>
      <c r="B20" s="11"/>
      <c r="C20" s="11"/>
      <c r="D20" s="11" t="s">
        <v>133</v>
      </c>
      <c r="E20" s="11" t="s">
        <v>134</v>
      </c>
    </row>
    <row r="22" spans="1:5">
      <c r="A22" s="22" t="s">
        <v>135</v>
      </c>
      <c r="B22" s="22" t="s">
        <v>135</v>
      </c>
      <c r="C22" s="22" t="s">
        <v>135</v>
      </c>
      <c r="D22" s="22" t="s">
        <v>135</v>
      </c>
      <c r="E22" s="22" t="s">
        <v>135</v>
      </c>
    </row>
    <row r="23" spans="1:5">
      <c r="A23" s="20" t="s">
        <v>136</v>
      </c>
      <c r="B23" s="14"/>
      <c r="C23" s="14"/>
      <c r="D23" s="14" t="s">
        <v>121</v>
      </c>
      <c r="E23" s="14"/>
    </row>
    <row r="24" spans="1:5">
      <c r="A24" s="21" t="s">
        <v>222</v>
      </c>
      <c r="B24" s="21" t="s">
        <v>222</v>
      </c>
      <c r="C24" s="21" t="s">
        <v>222</v>
      </c>
      <c r="D24" s="11" t="s">
        <v>222</v>
      </c>
      <c r="E24" s="11" t="s">
        <v>134</v>
      </c>
    </row>
  </sheetData>
  <mergeCells count="11">
    <mergeCell ref="A24:C24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8'!A1" display="13.8.23" xr:uid="{00000000-0004-0000-1800-000000000000}"/>
    <hyperlink ref="F2" location="'13.8.23E'!A1" display="2" xr:uid="{00000000-0004-0000-1800-000001000000}"/>
    <hyperlink ref="E10" location="'13.8.23E'!A1" display="'13.8.23E'!A1" xr:uid="{00000000-0004-0000-18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tabColor rgb="FFFCF8E3"/>
  </sheetPr>
  <dimension ref="A1:I24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 ht="24.75">
      <c r="A2" s="8" t="s">
        <v>106</v>
      </c>
      <c r="B2" s="8" t="s">
        <v>107</v>
      </c>
      <c r="C2" s="8" t="s">
        <v>85</v>
      </c>
      <c r="D2" s="8" t="s">
        <v>108</v>
      </c>
      <c r="E2" s="8" t="s">
        <v>42</v>
      </c>
      <c r="F2" s="8" t="s">
        <v>218</v>
      </c>
      <c r="G2" s="8">
        <v>3911.75</v>
      </c>
      <c r="H2" s="8">
        <v>4688.2323750000005</v>
      </c>
      <c r="I2" s="8">
        <v>9376.464750000001</v>
      </c>
    </row>
    <row r="5" spans="1:9">
      <c r="A5" s="16" t="s">
        <v>120</v>
      </c>
      <c r="B5" s="16" t="s">
        <v>120</v>
      </c>
      <c r="C5" s="16" t="s">
        <v>120</v>
      </c>
      <c r="D5" s="16" t="s">
        <v>120</v>
      </c>
      <c r="E5" s="16" t="s">
        <v>120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121</v>
      </c>
      <c r="C7" s="10" t="s">
        <v>122</v>
      </c>
      <c r="D7" s="10" t="s">
        <v>123</v>
      </c>
      <c r="E7" s="10" t="s">
        <v>9</v>
      </c>
    </row>
    <row r="8" spans="1:9">
      <c r="A8" s="11">
        <v>1</v>
      </c>
      <c r="B8" s="11" t="s">
        <v>124</v>
      </c>
      <c r="C8" s="11">
        <v>2</v>
      </c>
      <c r="D8" s="11" t="s">
        <v>163</v>
      </c>
      <c r="E8" s="11">
        <v>2</v>
      </c>
    </row>
    <row r="9" spans="1:9">
      <c r="A9" s="11" t="s">
        <v>126</v>
      </c>
      <c r="B9" s="11" t="s">
        <v>126</v>
      </c>
      <c r="C9" s="11">
        <f>SUBTOTAL(109,Criteria_Summary13.8.24[Elementos])</f>
        <v>2</v>
      </c>
      <c r="D9" s="11" t="s">
        <v>126</v>
      </c>
      <c r="E9" s="11">
        <f>SUBTOTAL(109,Criteria_Summary13.8.24[Total])</f>
        <v>2</v>
      </c>
    </row>
    <row r="10" spans="1:9">
      <c r="A10" s="12" t="s">
        <v>127</v>
      </c>
      <c r="B10" s="12">
        <v>0</v>
      </c>
      <c r="C10" s="13"/>
      <c r="D10" s="13"/>
      <c r="E10" s="12">
        <v>2</v>
      </c>
    </row>
    <row r="13" spans="1:9">
      <c r="A13" s="18" t="s">
        <v>163</v>
      </c>
      <c r="B13" s="18" t="s">
        <v>163</v>
      </c>
      <c r="C13" s="18" t="s">
        <v>163</v>
      </c>
      <c r="D13" s="18" t="s">
        <v>163</v>
      </c>
      <c r="E13" s="18" t="s">
        <v>163</v>
      </c>
    </row>
    <row r="14" spans="1:9">
      <c r="A14" s="19"/>
      <c r="B14" s="19"/>
      <c r="C14" s="19"/>
      <c r="D14" s="19"/>
      <c r="E14" s="19"/>
    </row>
    <row r="15" spans="1:9">
      <c r="A15" s="14" t="s">
        <v>121</v>
      </c>
      <c r="B15" s="14" t="s">
        <v>122</v>
      </c>
      <c r="C15" s="20" t="s">
        <v>128</v>
      </c>
      <c r="D15" s="20" t="s">
        <v>128</v>
      </c>
      <c r="E15" s="14" t="s">
        <v>9</v>
      </c>
    </row>
    <row r="16" spans="1:9">
      <c r="A16" s="11" t="s">
        <v>124</v>
      </c>
      <c r="B16" s="11">
        <v>2</v>
      </c>
      <c r="C16" s="21" t="s">
        <v>164</v>
      </c>
      <c r="D16" s="21" t="s">
        <v>164</v>
      </c>
      <c r="E16" s="11">
        <v>2</v>
      </c>
    </row>
    <row r="18" spans="1:5">
      <c r="A18" s="22" t="s">
        <v>130</v>
      </c>
      <c r="B18" s="22" t="s">
        <v>130</v>
      </c>
      <c r="C18" s="22" t="s">
        <v>130</v>
      </c>
      <c r="D18" s="22" t="s">
        <v>130</v>
      </c>
      <c r="E18" s="22" t="s">
        <v>130</v>
      </c>
    </row>
    <row r="19" spans="1:5">
      <c r="A19" s="20" t="s">
        <v>131</v>
      </c>
      <c r="B19" s="20" t="s">
        <v>131</v>
      </c>
      <c r="C19" s="20" t="s">
        <v>131</v>
      </c>
      <c r="D19" s="14" t="s">
        <v>132</v>
      </c>
      <c r="E19" s="14"/>
    </row>
    <row r="20" spans="1:5">
      <c r="A20" s="11"/>
      <c r="B20" s="11"/>
      <c r="C20" s="11"/>
      <c r="D20" s="11" t="s">
        <v>133</v>
      </c>
      <c r="E20" s="11" t="s">
        <v>134</v>
      </c>
    </row>
    <row r="22" spans="1:5">
      <c r="A22" s="22" t="s">
        <v>135</v>
      </c>
      <c r="B22" s="22" t="s">
        <v>135</v>
      </c>
      <c r="C22" s="22" t="s">
        <v>135</v>
      </c>
      <c r="D22" s="22" t="s">
        <v>135</v>
      </c>
      <c r="E22" s="22" t="s">
        <v>135</v>
      </c>
    </row>
    <row r="23" spans="1:5">
      <c r="A23" s="20" t="s">
        <v>136</v>
      </c>
      <c r="B23" s="14"/>
      <c r="C23" s="14"/>
      <c r="D23" s="14" t="s">
        <v>121</v>
      </c>
      <c r="E23" s="14"/>
    </row>
    <row r="24" spans="1:5">
      <c r="A24" s="21" t="s">
        <v>223</v>
      </c>
      <c r="B24" s="21" t="s">
        <v>223</v>
      </c>
      <c r="C24" s="21" t="s">
        <v>223</v>
      </c>
      <c r="D24" s="11" t="s">
        <v>224</v>
      </c>
      <c r="E24" s="11" t="s">
        <v>134</v>
      </c>
    </row>
  </sheetData>
  <mergeCells count="11">
    <mergeCell ref="A24:C24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8'!A1" display="13.8.24" xr:uid="{00000000-0004-0000-1900-000000000000}"/>
    <hyperlink ref="F2" location="'13.8.24E'!A1" display="2" xr:uid="{00000000-0004-0000-1900-000001000000}"/>
    <hyperlink ref="E10" location="'13.8.24E'!A1" display="'13.8.24E'!A1" xr:uid="{00000000-0004-0000-19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rgb="FFFCF8E3"/>
  </sheetPr>
  <dimension ref="A1:I24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 ht="36.75">
      <c r="A2" s="8" t="s">
        <v>109</v>
      </c>
      <c r="B2" s="8" t="s">
        <v>110</v>
      </c>
      <c r="C2" s="8" t="s">
        <v>85</v>
      </c>
      <c r="D2" s="8" t="s">
        <v>111</v>
      </c>
      <c r="E2" s="8" t="s">
        <v>42</v>
      </c>
      <c r="F2" s="8" t="s">
        <v>225</v>
      </c>
      <c r="G2" s="8">
        <v>3327.43</v>
      </c>
      <c r="H2" s="8">
        <v>3987.9248550000002</v>
      </c>
      <c r="I2" s="8">
        <v>15951.699420000001</v>
      </c>
    </row>
    <row r="5" spans="1:9">
      <c r="A5" s="16" t="s">
        <v>120</v>
      </c>
      <c r="B5" s="16" t="s">
        <v>120</v>
      </c>
      <c r="C5" s="16" t="s">
        <v>120</v>
      </c>
      <c r="D5" s="16" t="s">
        <v>120</v>
      </c>
      <c r="E5" s="16" t="s">
        <v>120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121</v>
      </c>
      <c r="C7" s="10" t="s">
        <v>122</v>
      </c>
      <c r="D7" s="10" t="s">
        <v>123</v>
      </c>
      <c r="E7" s="10" t="s">
        <v>9</v>
      </c>
    </row>
    <row r="8" spans="1:9">
      <c r="A8" s="11">
        <v>1</v>
      </c>
      <c r="B8" s="11" t="s">
        <v>124</v>
      </c>
      <c r="C8" s="11">
        <v>4</v>
      </c>
      <c r="D8" s="11" t="s">
        <v>226</v>
      </c>
      <c r="E8" s="11">
        <v>4</v>
      </c>
    </row>
    <row r="9" spans="1:9">
      <c r="A9" s="11" t="s">
        <v>126</v>
      </c>
      <c r="B9" s="11" t="s">
        <v>126</v>
      </c>
      <c r="C9" s="11">
        <f>SUBTOTAL(109,Criteria_Summary13.8.25[Elementos])</f>
        <v>4</v>
      </c>
      <c r="D9" s="11" t="s">
        <v>126</v>
      </c>
      <c r="E9" s="11">
        <f>SUBTOTAL(109,Criteria_Summary13.8.25[Total])</f>
        <v>4</v>
      </c>
    </row>
    <row r="10" spans="1:9">
      <c r="A10" s="12" t="s">
        <v>127</v>
      </c>
      <c r="B10" s="12">
        <v>0</v>
      </c>
      <c r="C10" s="13"/>
      <c r="D10" s="13"/>
      <c r="E10" s="12">
        <v>4</v>
      </c>
    </row>
    <row r="13" spans="1:9">
      <c r="A13" s="18" t="s">
        <v>226</v>
      </c>
      <c r="B13" s="18" t="s">
        <v>226</v>
      </c>
      <c r="C13" s="18" t="s">
        <v>226</v>
      </c>
      <c r="D13" s="18" t="s">
        <v>226</v>
      </c>
      <c r="E13" s="18" t="s">
        <v>226</v>
      </c>
    </row>
    <row r="14" spans="1:9">
      <c r="A14" s="19"/>
      <c r="B14" s="19"/>
      <c r="C14" s="19"/>
      <c r="D14" s="19"/>
      <c r="E14" s="19"/>
    </row>
    <row r="15" spans="1:9">
      <c r="A15" s="14" t="s">
        <v>121</v>
      </c>
      <c r="B15" s="14" t="s">
        <v>122</v>
      </c>
      <c r="C15" s="20" t="s">
        <v>128</v>
      </c>
      <c r="D15" s="20" t="s">
        <v>128</v>
      </c>
      <c r="E15" s="14" t="s">
        <v>9</v>
      </c>
    </row>
    <row r="16" spans="1:9">
      <c r="A16" s="11" t="s">
        <v>124</v>
      </c>
      <c r="B16" s="11">
        <v>4</v>
      </c>
      <c r="C16" s="21" t="s">
        <v>176</v>
      </c>
      <c r="D16" s="21" t="s">
        <v>176</v>
      </c>
      <c r="E16" s="11">
        <v>4</v>
      </c>
    </row>
    <row r="18" spans="1:5">
      <c r="A18" s="22" t="s">
        <v>135</v>
      </c>
      <c r="B18" s="22" t="s">
        <v>135</v>
      </c>
      <c r="C18" s="22" t="s">
        <v>135</v>
      </c>
      <c r="D18" s="22" t="s">
        <v>135</v>
      </c>
      <c r="E18" s="22" t="s">
        <v>135</v>
      </c>
    </row>
    <row r="19" spans="1:5">
      <c r="A19" s="20" t="s">
        <v>136</v>
      </c>
      <c r="B19" s="14"/>
      <c r="C19" s="14"/>
      <c r="D19" s="14" t="s">
        <v>121</v>
      </c>
      <c r="E19" s="14"/>
    </row>
    <row r="20" spans="1:5">
      <c r="A20" s="21" t="s">
        <v>227</v>
      </c>
      <c r="B20" s="21" t="s">
        <v>227</v>
      </c>
      <c r="C20" s="21" t="s">
        <v>227</v>
      </c>
      <c r="D20" s="11" t="s">
        <v>227</v>
      </c>
      <c r="E20" s="11" t="s">
        <v>134</v>
      </c>
    </row>
    <row r="22" spans="1:5">
      <c r="A22" s="22" t="s">
        <v>139</v>
      </c>
      <c r="B22" s="22" t="s">
        <v>139</v>
      </c>
      <c r="C22" s="22" t="s">
        <v>139</v>
      </c>
      <c r="D22" s="22" t="s">
        <v>139</v>
      </c>
      <c r="E22" s="22" t="s">
        <v>139</v>
      </c>
    </row>
    <row r="23" spans="1:5">
      <c r="A23" s="14" t="s">
        <v>121</v>
      </c>
      <c r="B23" s="14" t="s">
        <v>140</v>
      </c>
      <c r="C23" s="14" t="s">
        <v>141</v>
      </c>
      <c r="D23" s="14" t="s">
        <v>142</v>
      </c>
      <c r="E23" s="14"/>
    </row>
    <row r="24" spans="1:5" ht="48.75">
      <c r="A24" s="11" t="s">
        <v>143</v>
      </c>
      <c r="B24" s="11" t="s">
        <v>144</v>
      </c>
      <c r="C24" s="11" t="s">
        <v>111</v>
      </c>
      <c r="D24" s="11" t="s">
        <v>228</v>
      </c>
      <c r="E24" s="11" t="s">
        <v>147</v>
      </c>
    </row>
  </sheetData>
  <mergeCells count="10">
    <mergeCell ref="C16:D16"/>
    <mergeCell ref="A18:E18"/>
    <mergeCell ref="A19"/>
    <mergeCell ref="A20:C20"/>
    <mergeCell ref="A22:E22"/>
    <mergeCell ref="A5:E5"/>
    <mergeCell ref="A6:E6"/>
    <mergeCell ref="A13:E13"/>
    <mergeCell ref="A14:E14"/>
    <mergeCell ref="C15:D15"/>
  </mergeCells>
  <hyperlinks>
    <hyperlink ref="A2" location="'13.8'!A1" display="13.8.25" xr:uid="{00000000-0004-0000-1A00-000000000000}"/>
    <hyperlink ref="F2" location="'13.8.25E'!A1" display="4" xr:uid="{00000000-0004-0000-1A00-000001000000}"/>
    <hyperlink ref="E10" location="'13.8.25E'!A1" display="'13.8.25E'!A1" xr:uid="{00000000-0004-0000-1A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rgb="FFDFF0D8"/>
  </sheetPr>
  <dimension ref="A1:I24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6" t="s">
        <v>113</v>
      </c>
      <c r="B2" s="6" t="s">
        <v>114</v>
      </c>
      <c r="C2" s="6" t="s">
        <v>32</v>
      </c>
      <c r="D2" s="6" t="s">
        <v>115</v>
      </c>
      <c r="E2" s="6" t="s">
        <v>42</v>
      </c>
      <c r="F2" s="6" t="s">
        <v>225</v>
      </c>
      <c r="G2" s="6">
        <v>3973.3605928070401</v>
      </c>
      <c r="H2" s="6">
        <v>4762.0726704792378</v>
      </c>
      <c r="I2" s="6">
        <v>19048.290681916951</v>
      </c>
    </row>
    <row r="5" spans="1:9">
      <c r="A5" s="16" t="s">
        <v>120</v>
      </c>
      <c r="B5" s="16" t="s">
        <v>120</v>
      </c>
      <c r="C5" s="16" t="s">
        <v>120</v>
      </c>
      <c r="D5" s="16" t="s">
        <v>120</v>
      </c>
      <c r="E5" s="16" t="s">
        <v>120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121</v>
      </c>
      <c r="C7" s="10" t="s">
        <v>122</v>
      </c>
      <c r="D7" s="10" t="s">
        <v>123</v>
      </c>
      <c r="E7" s="10" t="s">
        <v>9</v>
      </c>
    </row>
    <row r="8" spans="1:9">
      <c r="A8" s="11">
        <v>1</v>
      </c>
      <c r="B8" s="11" t="s">
        <v>124</v>
      </c>
      <c r="C8" s="11">
        <v>4</v>
      </c>
      <c r="D8" s="11" t="s">
        <v>163</v>
      </c>
      <c r="E8" s="11">
        <v>4</v>
      </c>
    </row>
    <row r="9" spans="1:9">
      <c r="A9" s="11" t="s">
        <v>126</v>
      </c>
      <c r="B9" s="11" t="s">
        <v>126</v>
      </c>
      <c r="C9" s="11">
        <f>SUBTOTAL(109,Criteria_Summary13.8.26[Elementos])</f>
        <v>4</v>
      </c>
      <c r="D9" s="11" t="s">
        <v>126</v>
      </c>
      <c r="E9" s="11">
        <f>SUBTOTAL(109,Criteria_Summary13.8.26[Total])</f>
        <v>4</v>
      </c>
    </row>
    <row r="10" spans="1:9">
      <c r="A10" s="12" t="s">
        <v>127</v>
      </c>
      <c r="B10" s="12">
        <v>0</v>
      </c>
      <c r="C10" s="13"/>
      <c r="D10" s="13"/>
      <c r="E10" s="12">
        <v>4</v>
      </c>
    </row>
    <row r="13" spans="1:9">
      <c r="A13" s="18" t="s">
        <v>163</v>
      </c>
      <c r="B13" s="18" t="s">
        <v>163</v>
      </c>
      <c r="C13" s="18" t="s">
        <v>163</v>
      </c>
      <c r="D13" s="18" t="s">
        <v>163</v>
      </c>
      <c r="E13" s="18" t="s">
        <v>163</v>
      </c>
    </row>
    <row r="14" spans="1:9">
      <c r="A14" s="19"/>
      <c r="B14" s="19"/>
      <c r="C14" s="19"/>
      <c r="D14" s="19"/>
      <c r="E14" s="19"/>
    </row>
    <row r="15" spans="1:9">
      <c r="A15" s="14" t="s">
        <v>121</v>
      </c>
      <c r="B15" s="14" t="s">
        <v>122</v>
      </c>
      <c r="C15" s="20" t="s">
        <v>128</v>
      </c>
      <c r="D15" s="20" t="s">
        <v>128</v>
      </c>
      <c r="E15" s="14" t="s">
        <v>9</v>
      </c>
    </row>
    <row r="16" spans="1:9">
      <c r="A16" s="11" t="s">
        <v>124</v>
      </c>
      <c r="B16" s="11">
        <v>4</v>
      </c>
      <c r="C16" s="21" t="s">
        <v>164</v>
      </c>
      <c r="D16" s="21" t="s">
        <v>164</v>
      </c>
      <c r="E16" s="11">
        <v>4</v>
      </c>
    </row>
    <row r="18" spans="1:5">
      <c r="A18" s="22" t="s">
        <v>130</v>
      </c>
      <c r="B18" s="22" t="s">
        <v>130</v>
      </c>
      <c r="C18" s="22" t="s">
        <v>130</v>
      </c>
      <c r="D18" s="22" t="s">
        <v>130</v>
      </c>
      <c r="E18" s="22" t="s">
        <v>130</v>
      </c>
    </row>
    <row r="19" spans="1:5">
      <c r="A19" s="20" t="s">
        <v>131</v>
      </c>
      <c r="B19" s="20" t="s">
        <v>131</v>
      </c>
      <c r="C19" s="20" t="s">
        <v>131</v>
      </c>
      <c r="D19" s="14" t="s">
        <v>132</v>
      </c>
      <c r="E19" s="14"/>
    </row>
    <row r="20" spans="1:5">
      <c r="A20" s="11"/>
      <c r="B20" s="11"/>
      <c r="C20" s="11"/>
      <c r="D20" s="11" t="s">
        <v>133</v>
      </c>
      <c r="E20" s="11" t="s">
        <v>134</v>
      </c>
    </row>
    <row r="22" spans="1:5">
      <c r="A22" s="22" t="s">
        <v>135</v>
      </c>
      <c r="B22" s="22" t="s">
        <v>135</v>
      </c>
      <c r="C22" s="22" t="s">
        <v>135</v>
      </c>
      <c r="D22" s="22" t="s">
        <v>135</v>
      </c>
      <c r="E22" s="22" t="s">
        <v>135</v>
      </c>
    </row>
    <row r="23" spans="1:5">
      <c r="A23" s="20" t="s">
        <v>136</v>
      </c>
      <c r="B23" s="14"/>
      <c r="C23" s="14"/>
      <c r="D23" s="14" t="s">
        <v>121</v>
      </c>
      <c r="E23" s="14"/>
    </row>
    <row r="24" spans="1:5">
      <c r="A24" s="21" t="s">
        <v>229</v>
      </c>
      <c r="B24" s="21" t="s">
        <v>229</v>
      </c>
      <c r="C24" s="21" t="s">
        <v>229</v>
      </c>
      <c r="D24" s="11" t="s">
        <v>229</v>
      </c>
      <c r="E24" s="11" t="s">
        <v>134</v>
      </c>
    </row>
  </sheetData>
  <mergeCells count="11">
    <mergeCell ref="A24:C24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8'!A1" display="13.8.26" xr:uid="{00000000-0004-0000-1B00-000000000000}"/>
    <hyperlink ref="F2" location="'13.8.26E'!A1" display="4" xr:uid="{00000000-0004-0000-1B00-000001000000}"/>
    <hyperlink ref="E10" location="'13.8.26E'!A1" display="'13.8.26E'!A1" xr:uid="{00000000-0004-0000-1B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tabColor rgb="FFFCF8E3"/>
  </sheetPr>
  <dimension ref="A1:I24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8" t="s">
        <v>116</v>
      </c>
      <c r="B2" s="8" t="s">
        <v>117</v>
      </c>
      <c r="C2" s="8" t="s">
        <v>23</v>
      </c>
      <c r="D2" s="8" t="s">
        <v>118</v>
      </c>
      <c r="E2" s="8" t="s">
        <v>42</v>
      </c>
      <c r="F2" s="8" t="s">
        <v>230</v>
      </c>
      <c r="G2" s="8">
        <v>1358.01</v>
      </c>
      <c r="H2" s="8">
        <v>1627.5749850000002</v>
      </c>
      <c r="I2" s="8">
        <v>13020.599880000002</v>
      </c>
    </row>
    <row r="5" spans="1:9">
      <c r="A5" s="16" t="s">
        <v>120</v>
      </c>
      <c r="B5" s="16" t="s">
        <v>120</v>
      </c>
      <c r="C5" s="16" t="s">
        <v>120</v>
      </c>
      <c r="D5" s="16" t="s">
        <v>120</v>
      </c>
      <c r="E5" s="16" t="s">
        <v>120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121</v>
      </c>
      <c r="C7" s="10" t="s">
        <v>122</v>
      </c>
      <c r="D7" s="10" t="s">
        <v>123</v>
      </c>
      <c r="E7" s="10" t="s">
        <v>9</v>
      </c>
    </row>
    <row r="8" spans="1:9">
      <c r="A8" s="11">
        <v>1</v>
      </c>
      <c r="B8" s="11" t="s">
        <v>124</v>
      </c>
      <c r="C8" s="11">
        <v>8</v>
      </c>
      <c r="D8" s="11" t="s">
        <v>163</v>
      </c>
      <c r="E8" s="11">
        <v>8</v>
      </c>
    </row>
    <row r="9" spans="1:9">
      <c r="A9" s="11" t="s">
        <v>126</v>
      </c>
      <c r="B9" s="11" t="s">
        <v>126</v>
      </c>
      <c r="C9" s="11">
        <f>SUBTOTAL(109,Criteria_Summary13.8.27[Elementos])</f>
        <v>8</v>
      </c>
      <c r="D9" s="11" t="s">
        <v>126</v>
      </c>
      <c r="E9" s="11">
        <f>SUBTOTAL(109,Criteria_Summary13.8.27[Total])</f>
        <v>8</v>
      </c>
    </row>
    <row r="10" spans="1:9">
      <c r="A10" s="12" t="s">
        <v>127</v>
      </c>
      <c r="B10" s="12">
        <v>0</v>
      </c>
      <c r="C10" s="13"/>
      <c r="D10" s="13"/>
      <c r="E10" s="12">
        <v>8</v>
      </c>
    </row>
    <row r="13" spans="1:9">
      <c r="A13" s="18" t="s">
        <v>163</v>
      </c>
      <c r="B13" s="18" t="s">
        <v>163</v>
      </c>
      <c r="C13" s="18" t="s">
        <v>163</v>
      </c>
      <c r="D13" s="18" t="s">
        <v>163</v>
      </c>
      <c r="E13" s="18" t="s">
        <v>163</v>
      </c>
    </row>
    <row r="14" spans="1:9">
      <c r="A14" s="19"/>
      <c r="B14" s="19"/>
      <c r="C14" s="19"/>
      <c r="D14" s="19"/>
      <c r="E14" s="19"/>
    </row>
    <row r="15" spans="1:9">
      <c r="A15" s="14" t="s">
        <v>121</v>
      </c>
      <c r="B15" s="14" t="s">
        <v>122</v>
      </c>
      <c r="C15" s="20" t="s">
        <v>128</v>
      </c>
      <c r="D15" s="20" t="s">
        <v>128</v>
      </c>
      <c r="E15" s="14" t="s">
        <v>9</v>
      </c>
    </row>
    <row r="16" spans="1:9">
      <c r="A16" s="11" t="s">
        <v>124</v>
      </c>
      <c r="B16" s="11">
        <v>8</v>
      </c>
      <c r="C16" s="21" t="s">
        <v>164</v>
      </c>
      <c r="D16" s="21" t="s">
        <v>164</v>
      </c>
      <c r="E16" s="11">
        <v>8</v>
      </c>
    </row>
    <row r="18" spans="1:5">
      <c r="A18" s="22" t="s">
        <v>130</v>
      </c>
      <c r="B18" s="22" t="s">
        <v>130</v>
      </c>
      <c r="C18" s="22" t="s">
        <v>130</v>
      </c>
      <c r="D18" s="22" t="s">
        <v>130</v>
      </c>
      <c r="E18" s="22" t="s">
        <v>130</v>
      </c>
    </row>
    <row r="19" spans="1:5">
      <c r="A19" s="20" t="s">
        <v>131</v>
      </c>
      <c r="B19" s="20" t="s">
        <v>131</v>
      </c>
      <c r="C19" s="20" t="s">
        <v>131</v>
      </c>
      <c r="D19" s="14" t="s">
        <v>132</v>
      </c>
      <c r="E19" s="14"/>
    </row>
    <row r="20" spans="1:5">
      <c r="A20" s="11"/>
      <c r="B20" s="11"/>
      <c r="C20" s="11"/>
      <c r="D20" s="11" t="s">
        <v>133</v>
      </c>
      <c r="E20" s="11" t="s">
        <v>134</v>
      </c>
    </row>
    <row r="22" spans="1:5">
      <c r="A22" s="22" t="s">
        <v>135</v>
      </c>
      <c r="B22" s="22" t="s">
        <v>135</v>
      </c>
      <c r="C22" s="22" t="s">
        <v>135</v>
      </c>
      <c r="D22" s="22" t="s">
        <v>135</v>
      </c>
      <c r="E22" s="22" t="s">
        <v>135</v>
      </c>
    </row>
    <row r="23" spans="1:5">
      <c r="A23" s="20" t="s">
        <v>136</v>
      </c>
      <c r="B23" s="14"/>
      <c r="C23" s="14"/>
      <c r="D23" s="14" t="s">
        <v>121</v>
      </c>
      <c r="E23" s="14"/>
    </row>
    <row r="24" spans="1:5">
      <c r="A24" s="21" t="s">
        <v>223</v>
      </c>
      <c r="B24" s="21" t="s">
        <v>223</v>
      </c>
      <c r="C24" s="21" t="s">
        <v>223</v>
      </c>
      <c r="D24" s="11" t="s">
        <v>231</v>
      </c>
      <c r="E24" s="11" t="s">
        <v>134</v>
      </c>
    </row>
  </sheetData>
  <mergeCells count="11">
    <mergeCell ref="A24:C24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8'!A1" display="13.8.27" xr:uid="{00000000-0004-0000-1C00-000000000000}"/>
    <hyperlink ref="F2" location="'13.8.27E'!A1" display="8" xr:uid="{00000000-0004-0000-1C00-000001000000}"/>
    <hyperlink ref="E10" location="'13.8.27E'!A1" display="'13.8.27E'!A1" xr:uid="{00000000-0004-0000-1C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DFF0D8"/>
  </sheetPr>
  <dimension ref="A1:I28"/>
  <sheetViews>
    <sheetView showGridLines="0" workbookViewId="0">
      <selection activeCell="D2" sqref="D2"/>
    </sheetView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 ht="24.75">
      <c r="A2" s="6" t="s">
        <v>12</v>
      </c>
      <c r="B2" s="6" t="s">
        <v>1101</v>
      </c>
      <c r="C2" s="6" t="s">
        <v>13</v>
      </c>
      <c r="D2" s="6" t="s">
        <v>1102</v>
      </c>
      <c r="E2" s="6" t="s">
        <v>15</v>
      </c>
      <c r="F2" s="6" t="s">
        <v>16</v>
      </c>
      <c r="G2" s="6">
        <v>86.534430799999996</v>
      </c>
      <c r="H2" s="6">
        <v>103.71151531380001</v>
      </c>
      <c r="I2" s="6">
        <v>7117.7212959860944</v>
      </c>
    </row>
    <row r="5" spans="1:9">
      <c r="A5" s="16" t="s">
        <v>120</v>
      </c>
      <c r="B5" s="16" t="s">
        <v>120</v>
      </c>
      <c r="C5" s="16" t="s">
        <v>120</v>
      </c>
      <c r="D5" s="16" t="s">
        <v>120</v>
      </c>
      <c r="E5" s="16" t="s">
        <v>120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121</v>
      </c>
      <c r="C7" s="10" t="s">
        <v>122</v>
      </c>
      <c r="D7" s="10" t="s">
        <v>123</v>
      </c>
      <c r="E7" s="10" t="s">
        <v>9</v>
      </c>
    </row>
    <row r="8" spans="1:9">
      <c r="A8" s="11">
        <v>1</v>
      </c>
      <c r="B8" s="11" t="s">
        <v>124</v>
      </c>
      <c r="C8" s="11">
        <v>48</v>
      </c>
      <c r="D8" s="11" t="s">
        <v>125</v>
      </c>
      <c r="E8" s="11">
        <v>68.633268334477478</v>
      </c>
    </row>
    <row r="9" spans="1:9">
      <c r="A9" s="11" t="s">
        <v>126</v>
      </c>
      <c r="B9" s="11" t="s">
        <v>126</v>
      </c>
      <c r="C9" s="11">
        <f>SUBTOTAL(109,Criteria_Summary13.8.1[Elementos])</f>
        <v>48</v>
      </c>
      <c r="D9" s="11" t="s">
        <v>126</v>
      </c>
      <c r="E9" s="11">
        <f>SUBTOTAL(109,Criteria_Summary13.8.1[Total])</f>
        <v>68.633268334477478</v>
      </c>
    </row>
    <row r="10" spans="1:9">
      <c r="A10" s="12" t="s">
        <v>127</v>
      </c>
      <c r="B10" s="12">
        <v>0</v>
      </c>
      <c r="C10" s="13"/>
      <c r="D10" s="13"/>
      <c r="E10" s="12">
        <v>68.63</v>
      </c>
    </row>
    <row r="13" spans="1:9">
      <c r="A13" s="18" t="s">
        <v>125</v>
      </c>
      <c r="B13" s="18" t="s">
        <v>125</v>
      </c>
      <c r="C13" s="18" t="s">
        <v>125</v>
      </c>
      <c r="D13" s="18" t="s">
        <v>125</v>
      </c>
      <c r="E13" s="18" t="s">
        <v>125</v>
      </c>
    </row>
    <row r="14" spans="1:9">
      <c r="A14" s="19"/>
      <c r="B14" s="19"/>
      <c r="C14" s="19"/>
      <c r="D14" s="19"/>
      <c r="E14" s="19"/>
    </row>
    <row r="15" spans="1:9">
      <c r="A15" s="14" t="s">
        <v>121</v>
      </c>
      <c r="B15" s="14" t="s">
        <v>122</v>
      </c>
      <c r="C15" s="20" t="s">
        <v>128</v>
      </c>
      <c r="D15" s="20" t="s">
        <v>128</v>
      </c>
      <c r="E15" s="14" t="s">
        <v>9</v>
      </c>
    </row>
    <row r="16" spans="1:9">
      <c r="A16" s="11" t="s">
        <v>124</v>
      </c>
      <c r="B16" s="11">
        <v>48</v>
      </c>
      <c r="C16" s="21" t="s">
        <v>129</v>
      </c>
      <c r="D16" s="21" t="s">
        <v>129</v>
      </c>
      <c r="E16" s="11">
        <v>68.633268334477478</v>
      </c>
    </row>
    <row r="18" spans="1:5">
      <c r="A18" s="22" t="s">
        <v>130</v>
      </c>
      <c r="B18" s="22" t="s">
        <v>130</v>
      </c>
      <c r="C18" s="22" t="s">
        <v>130</v>
      </c>
      <c r="D18" s="22" t="s">
        <v>130</v>
      </c>
      <c r="E18" s="22" t="s">
        <v>130</v>
      </c>
    </row>
    <row r="19" spans="1:5">
      <c r="A19" s="20" t="s">
        <v>131</v>
      </c>
      <c r="B19" s="20" t="s">
        <v>131</v>
      </c>
      <c r="C19" s="20" t="s">
        <v>131</v>
      </c>
      <c r="D19" s="14" t="s">
        <v>132</v>
      </c>
      <c r="E19" s="14"/>
    </row>
    <row r="20" spans="1:5">
      <c r="A20" s="11"/>
      <c r="B20" s="11"/>
      <c r="C20" s="11"/>
      <c r="D20" s="11" t="s">
        <v>133</v>
      </c>
      <c r="E20" s="11" t="s">
        <v>134</v>
      </c>
    </row>
    <row r="22" spans="1:5">
      <c r="A22" s="22" t="s">
        <v>135</v>
      </c>
      <c r="B22" s="22" t="s">
        <v>135</v>
      </c>
      <c r="C22" s="22" t="s">
        <v>135</v>
      </c>
      <c r="D22" s="22" t="s">
        <v>135</v>
      </c>
      <c r="E22" s="22" t="s">
        <v>135</v>
      </c>
    </row>
    <row r="23" spans="1:5">
      <c r="A23" s="20" t="s">
        <v>136</v>
      </c>
      <c r="B23" s="14"/>
      <c r="C23" s="14"/>
      <c r="D23" s="14" t="s">
        <v>121</v>
      </c>
      <c r="E23" s="14"/>
    </row>
    <row r="24" spans="1:5">
      <c r="A24" s="21" t="s">
        <v>137</v>
      </c>
      <c r="B24" s="21" t="s">
        <v>137</v>
      </c>
      <c r="C24" s="21" t="s">
        <v>137</v>
      </c>
      <c r="D24" s="11" t="s">
        <v>138</v>
      </c>
      <c r="E24" s="11" t="s">
        <v>134</v>
      </c>
    </row>
    <row r="26" spans="1:5">
      <c r="A26" s="22" t="s">
        <v>139</v>
      </c>
      <c r="B26" s="22" t="s">
        <v>139</v>
      </c>
      <c r="C26" s="22" t="s">
        <v>139</v>
      </c>
      <c r="D26" s="22" t="s">
        <v>139</v>
      </c>
      <c r="E26" s="22" t="s">
        <v>139</v>
      </c>
    </row>
    <row r="27" spans="1:5">
      <c r="A27" s="14" t="s">
        <v>121</v>
      </c>
      <c r="B27" s="14" t="s">
        <v>140</v>
      </c>
      <c r="C27" s="14" t="s">
        <v>141</v>
      </c>
      <c r="D27" s="14" t="s">
        <v>142</v>
      </c>
      <c r="E27" s="14"/>
    </row>
    <row r="28" spans="1:5">
      <c r="A28" s="11" t="s">
        <v>143</v>
      </c>
      <c r="B28" s="11" t="s">
        <v>144</v>
      </c>
      <c r="C28" s="11" t="s">
        <v>145</v>
      </c>
      <c r="D28" s="11" t="s">
        <v>146</v>
      </c>
      <c r="E28" s="11" t="s">
        <v>147</v>
      </c>
    </row>
  </sheetData>
  <mergeCells count="12">
    <mergeCell ref="A24:C24"/>
    <mergeCell ref="A26:E26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8'!A1" display="13.8.1" xr:uid="{00000000-0004-0000-0200-000000000000}"/>
    <hyperlink ref="F2" location="'13.8.1E'!A1" display="68,63" xr:uid="{00000000-0004-0000-0200-000001000000}"/>
    <hyperlink ref="E10" location="'13.8.1E'!A1" display="'13.8.1E'!A1" xr:uid="{00000000-0004-0000-02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E55"/>
  <sheetViews>
    <sheetView showGridLines="0" workbookViewId="0">
      <selection sqref="A1:E2"/>
    </sheetView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1102</v>
      </c>
      <c r="B1" s="23" t="s">
        <v>14</v>
      </c>
      <c r="C1" s="23" t="s">
        <v>14</v>
      </c>
      <c r="D1" s="23" t="s">
        <v>14</v>
      </c>
      <c r="E1" s="23" t="s">
        <v>14</v>
      </c>
    </row>
    <row r="2" spans="1:5">
      <c r="A2" s="23" t="s">
        <v>14</v>
      </c>
      <c r="B2" s="23" t="s">
        <v>14</v>
      </c>
      <c r="C2" s="23" t="s">
        <v>14</v>
      </c>
      <c r="D2" s="23" t="s">
        <v>14</v>
      </c>
      <c r="E2" s="23" t="s">
        <v>14</v>
      </c>
    </row>
    <row r="4" spans="1:5">
      <c r="A4" s="18" t="s">
        <v>125</v>
      </c>
      <c r="B4" s="18" t="s">
        <v>125</v>
      </c>
      <c r="C4" s="18" t="s">
        <v>125</v>
      </c>
      <c r="D4" s="18" t="s">
        <v>125</v>
      </c>
      <c r="E4" s="18" t="s">
        <v>125</v>
      </c>
    </row>
    <row r="5" spans="1:5">
      <c r="A5" s="24" t="s">
        <v>126</v>
      </c>
      <c r="B5" s="24" t="s">
        <v>126</v>
      </c>
      <c r="C5" s="24" t="s">
        <v>126</v>
      </c>
      <c r="D5" s="24" t="s">
        <v>126</v>
      </c>
      <c r="E5" s="24" t="s">
        <v>126</v>
      </c>
    </row>
    <row r="6" spans="1:5">
      <c r="A6" s="10" t="s">
        <v>232</v>
      </c>
      <c r="B6" s="10" t="s">
        <v>233</v>
      </c>
      <c r="C6" s="10" t="s">
        <v>234</v>
      </c>
      <c r="D6" s="10" t="s">
        <v>235</v>
      </c>
      <c r="E6" s="10" t="s">
        <v>236</v>
      </c>
    </row>
    <row r="7" spans="1:5" ht="24.75">
      <c r="A7" s="11" t="s">
        <v>237</v>
      </c>
      <c r="B7" s="11" t="s">
        <v>133</v>
      </c>
      <c r="C7" s="11" t="s">
        <v>138</v>
      </c>
      <c r="D7" s="11" t="s">
        <v>238</v>
      </c>
      <c r="E7" s="11">
        <v>0.17500000000000415</v>
      </c>
    </row>
    <row r="8" spans="1:5" ht="24.75">
      <c r="A8" s="11" t="s">
        <v>237</v>
      </c>
      <c r="B8" s="11" t="s">
        <v>133</v>
      </c>
      <c r="C8" s="11" t="s">
        <v>138</v>
      </c>
      <c r="D8" s="11" t="s">
        <v>239</v>
      </c>
      <c r="E8" s="11">
        <v>0.35486230194142332</v>
      </c>
    </row>
    <row r="9" spans="1:5" ht="24.75">
      <c r="A9" s="11" t="s">
        <v>237</v>
      </c>
      <c r="B9" s="11" t="s">
        <v>133</v>
      </c>
      <c r="C9" s="11" t="s">
        <v>138</v>
      </c>
      <c r="D9" s="11" t="s">
        <v>240</v>
      </c>
      <c r="E9" s="11">
        <v>0.59702434307236019</v>
      </c>
    </row>
    <row r="10" spans="1:5" ht="24.75">
      <c r="A10" s="11" t="s">
        <v>237</v>
      </c>
      <c r="B10" s="11" t="s">
        <v>133</v>
      </c>
      <c r="C10" s="11" t="s">
        <v>138</v>
      </c>
      <c r="D10" s="11" t="s">
        <v>241</v>
      </c>
      <c r="E10" s="11">
        <v>1.0499216259621815</v>
      </c>
    </row>
    <row r="11" spans="1:5" ht="24.75">
      <c r="A11" s="11" t="s">
        <v>237</v>
      </c>
      <c r="B11" s="11" t="s">
        <v>133</v>
      </c>
      <c r="C11" s="11" t="s">
        <v>138</v>
      </c>
      <c r="D11" s="11" t="s">
        <v>242</v>
      </c>
      <c r="E11" s="11">
        <v>8.0003120209195672E-2</v>
      </c>
    </row>
    <row r="12" spans="1:5" ht="24.75">
      <c r="A12" s="11" t="s">
        <v>237</v>
      </c>
      <c r="B12" s="11" t="s">
        <v>133</v>
      </c>
      <c r="C12" s="11" t="s">
        <v>138</v>
      </c>
      <c r="D12" s="11" t="s">
        <v>243</v>
      </c>
      <c r="E12" s="11">
        <v>8.4465891636968354E-2</v>
      </c>
    </row>
    <row r="13" spans="1:5" ht="24.75">
      <c r="A13" s="11" t="s">
        <v>237</v>
      </c>
      <c r="B13" s="11" t="s">
        <v>133</v>
      </c>
      <c r="C13" s="11" t="s">
        <v>138</v>
      </c>
      <c r="D13" s="11" t="s">
        <v>244</v>
      </c>
      <c r="E13" s="11">
        <v>3.1</v>
      </c>
    </row>
    <row r="14" spans="1:5" ht="24.75">
      <c r="A14" s="11" t="s">
        <v>237</v>
      </c>
      <c r="B14" s="11" t="s">
        <v>133</v>
      </c>
      <c r="C14" s="11" t="s">
        <v>138</v>
      </c>
      <c r="D14" s="11" t="s">
        <v>245</v>
      </c>
      <c r="E14" s="11">
        <v>0.12774361483064212</v>
      </c>
    </row>
    <row r="15" spans="1:5" ht="24.75">
      <c r="A15" s="11" t="s">
        <v>237</v>
      </c>
      <c r="B15" s="11" t="s">
        <v>133</v>
      </c>
      <c r="C15" s="11" t="s">
        <v>138</v>
      </c>
      <c r="D15" s="11" t="s">
        <v>246</v>
      </c>
      <c r="E15" s="11">
        <v>1.4569549860588349</v>
      </c>
    </row>
    <row r="16" spans="1:5" ht="24.75">
      <c r="A16" s="11" t="s">
        <v>237</v>
      </c>
      <c r="B16" s="11" t="s">
        <v>133</v>
      </c>
      <c r="C16" s="11" t="s">
        <v>138</v>
      </c>
      <c r="D16" s="11" t="s">
        <v>247</v>
      </c>
      <c r="E16" s="11">
        <v>1.4075967580961264</v>
      </c>
    </row>
    <row r="17" spans="1:5" ht="24.75">
      <c r="A17" s="11" t="s">
        <v>237</v>
      </c>
      <c r="B17" s="11" t="s">
        <v>133</v>
      </c>
      <c r="C17" s="11" t="s">
        <v>138</v>
      </c>
      <c r="D17" s="11" t="s">
        <v>248</v>
      </c>
      <c r="E17" s="11">
        <v>5.552244676708221</v>
      </c>
    </row>
    <row r="18" spans="1:5" ht="24.75">
      <c r="A18" s="11" t="s">
        <v>237</v>
      </c>
      <c r="B18" s="11" t="s">
        <v>133</v>
      </c>
      <c r="C18" s="11" t="s">
        <v>138</v>
      </c>
      <c r="D18" s="11" t="s">
        <v>249</v>
      </c>
      <c r="E18" s="11">
        <v>0.45500000000929552</v>
      </c>
    </row>
    <row r="19" spans="1:5" ht="24.75">
      <c r="A19" s="11" t="s">
        <v>237</v>
      </c>
      <c r="B19" s="11" t="s">
        <v>133</v>
      </c>
      <c r="C19" s="11" t="s">
        <v>138</v>
      </c>
      <c r="D19" s="11" t="s">
        <v>250</v>
      </c>
      <c r="E19" s="11">
        <v>0.61204799195135784</v>
      </c>
    </row>
    <row r="20" spans="1:5" ht="24.75">
      <c r="A20" s="11" t="s">
        <v>237</v>
      </c>
      <c r="B20" s="11" t="s">
        <v>133</v>
      </c>
      <c r="C20" s="11" t="s">
        <v>138</v>
      </c>
      <c r="D20" s="11" t="s">
        <v>251</v>
      </c>
      <c r="E20" s="11">
        <v>0.56445177317437301</v>
      </c>
    </row>
    <row r="21" spans="1:5" ht="24.75">
      <c r="A21" s="11" t="s">
        <v>237</v>
      </c>
      <c r="B21" s="11" t="s">
        <v>133</v>
      </c>
      <c r="C21" s="11" t="s">
        <v>138</v>
      </c>
      <c r="D21" s="11" t="s">
        <v>252</v>
      </c>
      <c r="E21" s="11">
        <v>3.0220057529254811</v>
      </c>
    </row>
    <row r="22" spans="1:5" ht="24.75">
      <c r="A22" s="11" t="s">
        <v>237</v>
      </c>
      <c r="B22" s="11" t="s">
        <v>133</v>
      </c>
      <c r="C22" s="11" t="s">
        <v>138</v>
      </c>
      <c r="D22" s="11" t="s">
        <v>253</v>
      </c>
      <c r="E22" s="11">
        <v>0.4150018131929199</v>
      </c>
    </row>
    <row r="23" spans="1:5" ht="24.75">
      <c r="A23" s="11" t="s">
        <v>237</v>
      </c>
      <c r="B23" s="11" t="s">
        <v>133</v>
      </c>
      <c r="C23" s="11" t="s">
        <v>138</v>
      </c>
      <c r="D23" s="11" t="s">
        <v>254</v>
      </c>
      <c r="E23" s="11">
        <v>0.13900000000000193</v>
      </c>
    </row>
    <row r="24" spans="1:5" ht="24.75">
      <c r="A24" s="11" t="s">
        <v>237</v>
      </c>
      <c r="B24" s="11" t="s">
        <v>133</v>
      </c>
      <c r="C24" s="11" t="s">
        <v>138</v>
      </c>
      <c r="D24" s="11" t="s">
        <v>255</v>
      </c>
      <c r="E24" s="11">
        <v>0.60998836968363945</v>
      </c>
    </row>
    <row r="25" spans="1:5" ht="24.75">
      <c r="A25" s="11" t="s">
        <v>237</v>
      </c>
      <c r="B25" s="11" t="s">
        <v>133</v>
      </c>
      <c r="C25" s="11" t="s">
        <v>138</v>
      </c>
      <c r="D25" s="11" t="s">
        <v>256</v>
      </c>
      <c r="E25" s="11">
        <v>1.3387321885407908</v>
      </c>
    </row>
    <row r="26" spans="1:5" ht="24.75">
      <c r="A26" s="11" t="s">
        <v>237</v>
      </c>
      <c r="B26" s="11" t="s">
        <v>133</v>
      </c>
      <c r="C26" s="11" t="s">
        <v>138</v>
      </c>
      <c r="D26" s="11" t="s">
        <v>257</v>
      </c>
      <c r="E26" s="11">
        <v>0.39330416040360189</v>
      </c>
    </row>
    <row r="27" spans="1:5" ht="24.75">
      <c r="A27" s="11" t="s">
        <v>237</v>
      </c>
      <c r="B27" s="11" t="s">
        <v>133</v>
      </c>
      <c r="C27" s="11" t="s">
        <v>138</v>
      </c>
      <c r="D27" s="11" t="s">
        <v>258</v>
      </c>
      <c r="E27" s="11">
        <v>1.6476141059195908</v>
      </c>
    </row>
    <row r="28" spans="1:5" ht="24.75">
      <c r="A28" s="11" t="s">
        <v>237</v>
      </c>
      <c r="B28" s="11" t="s">
        <v>133</v>
      </c>
      <c r="C28" s="11" t="s">
        <v>138</v>
      </c>
      <c r="D28" s="11" t="s">
        <v>259</v>
      </c>
      <c r="E28" s="11">
        <v>1.3989999999999976</v>
      </c>
    </row>
    <row r="29" spans="1:5" ht="24.75">
      <c r="A29" s="11" t="s">
        <v>237</v>
      </c>
      <c r="B29" s="11" t="s">
        <v>133</v>
      </c>
      <c r="C29" s="11" t="s">
        <v>138</v>
      </c>
      <c r="D29" s="11" t="s">
        <v>260</v>
      </c>
      <c r="E29" s="11">
        <v>1.3978316630013123</v>
      </c>
    </row>
    <row r="30" spans="1:5" ht="24.75">
      <c r="A30" s="11" t="s">
        <v>237</v>
      </c>
      <c r="B30" s="11" t="s">
        <v>133</v>
      </c>
      <c r="C30" s="11" t="s">
        <v>138</v>
      </c>
      <c r="D30" s="11" t="s">
        <v>261</v>
      </c>
      <c r="E30" s="11">
        <v>0.12118298150180748</v>
      </c>
    </row>
    <row r="31" spans="1:5" ht="24.75">
      <c r="A31" s="11" t="s">
        <v>237</v>
      </c>
      <c r="B31" s="11" t="s">
        <v>133</v>
      </c>
      <c r="C31" s="11" t="s">
        <v>138</v>
      </c>
      <c r="D31" s="11" t="s">
        <v>262</v>
      </c>
      <c r="E31" s="11">
        <v>0.22509541006018724</v>
      </c>
    </row>
    <row r="32" spans="1:5" ht="24.75">
      <c r="A32" s="11" t="s">
        <v>237</v>
      </c>
      <c r="B32" s="11" t="s">
        <v>133</v>
      </c>
      <c r="C32" s="11" t="s">
        <v>138</v>
      </c>
      <c r="D32" s="11" t="s">
        <v>263</v>
      </c>
      <c r="E32" s="11">
        <v>1.7131422036177557</v>
      </c>
    </row>
    <row r="33" spans="1:5" ht="24.75">
      <c r="A33" s="11" t="s">
        <v>237</v>
      </c>
      <c r="B33" s="11" t="s">
        <v>133</v>
      </c>
      <c r="C33" s="11" t="s">
        <v>138</v>
      </c>
      <c r="D33" s="11" t="s">
        <v>264</v>
      </c>
      <c r="E33" s="11">
        <v>0.41527283181972025</v>
      </c>
    </row>
    <row r="34" spans="1:5" ht="24.75">
      <c r="A34" s="11" t="s">
        <v>237</v>
      </c>
      <c r="B34" s="11" t="s">
        <v>133</v>
      </c>
      <c r="C34" s="11" t="s">
        <v>138</v>
      </c>
      <c r="D34" s="11" t="s">
        <v>265</v>
      </c>
      <c r="E34" s="11">
        <v>1.1790013650692817</v>
      </c>
    </row>
    <row r="35" spans="1:5" ht="24.75">
      <c r="A35" s="11" t="s">
        <v>237</v>
      </c>
      <c r="B35" s="11" t="s">
        <v>133</v>
      </c>
      <c r="C35" s="11" t="s">
        <v>138</v>
      </c>
      <c r="D35" s="11" t="s">
        <v>266</v>
      </c>
      <c r="E35" s="11">
        <v>1.7953979709446999</v>
      </c>
    </row>
    <row r="36" spans="1:5" ht="24.75">
      <c r="A36" s="11" t="s">
        <v>237</v>
      </c>
      <c r="B36" s="11" t="s">
        <v>133</v>
      </c>
      <c r="C36" s="11" t="s">
        <v>138</v>
      </c>
      <c r="D36" s="11" t="s">
        <v>267</v>
      </c>
      <c r="E36" s="11">
        <v>2.1055841962507729</v>
      </c>
    </row>
    <row r="37" spans="1:5" ht="24.75">
      <c r="A37" s="11" t="s">
        <v>237</v>
      </c>
      <c r="B37" s="11" t="s">
        <v>133</v>
      </c>
      <c r="C37" s="11" t="s">
        <v>138</v>
      </c>
      <c r="D37" s="11" t="s">
        <v>268</v>
      </c>
      <c r="E37" s="11">
        <v>3.0341667626708659</v>
      </c>
    </row>
    <row r="38" spans="1:5" ht="24.75">
      <c r="A38" s="11" t="s">
        <v>237</v>
      </c>
      <c r="B38" s="11" t="s">
        <v>133</v>
      </c>
      <c r="C38" s="11" t="s">
        <v>138</v>
      </c>
      <c r="D38" s="11" t="s">
        <v>269</v>
      </c>
      <c r="E38" s="11">
        <v>2.6414287076284348</v>
      </c>
    </row>
    <row r="39" spans="1:5" ht="24.75">
      <c r="A39" s="11" t="s">
        <v>237</v>
      </c>
      <c r="B39" s="11" t="s">
        <v>133</v>
      </c>
      <c r="C39" s="11" t="s">
        <v>138</v>
      </c>
      <c r="D39" s="11" t="s">
        <v>270</v>
      </c>
      <c r="E39" s="11">
        <v>0.45899999999999697</v>
      </c>
    </row>
    <row r="40" spans="1:5" ht="24.75">
      <c r="A40" s="11" t="s">
        <v>237</v>
      </c>
      <c r="B40" s="11" t="s">
        <v>133</v>
      </c>
      <c r="C40" s="11" t="s">
        <v>138</v>
      </c>
      <c r="D40" s="11" t="s">
        <v>271</v>
      </c>
      <c r="E40" s="11">
        <v>3.0522990808559052</v>
      </c>
    </row>
    <row r="41" spans="1:5" ht="24.75">
      <c r="A41" s="11" t="s">
        <v>237</v>
      </c>
      <c r="B41" s="11" t="s">
        <v>133</v>
      </c>
      <c r="C41" s="11" t="s">
        <v>138</v>
      </c>
      <c r="D41" s="11" t="s">
        <v>272</v>
      </c>
      <c r="E41" s="11">
        <v>2.9574684843332504</v>
      </c>
    </row>
    <row r="42" spans="1:5" ht="24.75">
      <c r="A42" s="11" t="s">
        <v>237</v>
      </c>
      <c r="B42" s="11" t="s">
        <v>133</v>
      </c>
      <c r="C42" s="11" t="s">
        <v>138</v>
      </c>
      <c r="D42" s="11" t="s">
        <v>273</v>
      </c>
      <c r="E42" s="11">
        <v>0.13900000000000307</v>
      </c>
    </row>
    <row r="43" spans="1:5" ht="24.75">
      <c r="A43" s="11" t="s">
        <v>237</v>
      </c>
      <c r="B43" s="11" t="s">
        <v>133</v>
      </c>
      <c r="C43" s="11" t="s">
        <v>138</v>
      </c>
      <c r="D43" s="11" t="s">
        <v>274</v>
      </c>
      <c r="E43" s="11">
        <v>1.6029782982181213</v>
      </c>
    </row>
    <row r="44" spans="1:5" ht="24.75">
      <c r="A44" s="11" t="s">
        <v>237</v>
      </c>
      <c r="B44" s="11" t="s">
        <v>133</v>
      </c>
      <c r="C44" s="11" t="s">
        <v>138</v>
      </c>
      <c r="D44" s="11" t="s">
        <v>275</v>
      </c>
      <c r="E44" s="11">
        <v>2.0790000000000028</v>
      </c>
    </row>
    <row r="45" spans="1:5" ht="24.75">
      <c r="A45" s="11" t="s">
        <v>237</v>
      </c>
      <c r="B45" s="11" t="s">
        <v>133</v>
      </c>
      <c r="C45" s="11" t="s">
        <v>138</v>
      </c>
      <c r="D45" s="11" t="s">
        <v>276</v>
      </c>
      <c r="E45" s="11">
        <v>2.9840075958624679</v>
      </c>
    </row>
    <row r="46" spans="1:5" ht="24.75">
      <c r="A46" s="11" t="s">
        <v>237</v>
      </c>
      <c r="B46" s="11" t="s">
        <v>133</v>
      </c>
      <c r="C46" s="11" t="s">
        <v>138</v>
      </c>
      <c r="D46" s="11" t="s">
        <v>277</v>
      </c>
      <c r="E46" s="11">
        <v>1.8029990815002344</v>
      </c>
    </row>
    <row r="47" spans="1:5" ht="24.75">
      <c r="A47" s="11" t="s">
        <v>237</v>
      </c>
      <c r="B47" s="11" t="s">
        <v>133</v>
      </c>
      <c r="C47" s="11" t="s">
        <v>138</v>
      </c>
      <c r="D47" s="11" t="s">
        <v>278</v>
      </c>
      <c r="E47" s="11">
        <v>1.5990000000000046</v>
      </c>
    </row>
    <row r="48" spans="1:5" ht="24.75">
      <c r="A48" s="11" t="s">
        <v>237</v>
      </c>
      <c r="B48" s="11" t="s">
        <v>133</v>
      </c>
      <c r="C48" s="11" t="s">
        <v>138</v>
      </c>
      <c r="D48" s="11" t="s">
        <v>279</v>
      </c>
      <c r="E48" s="11">
        <v>2.9990000000000068</v>
      </c>
    </row>
    <row r="49" spans="1:5" ht="24.75">
      <c r="A49" s="11" t="s">
        <v>237</v>
      </c>
      <c r="B49" s="11" t="s">
        <v>133</v>
      </c>
      <c r="C49" s="11" t="s">
        <v>138</v>
      </c>
      <c r="D49" s="11" t="s">
        <v>280</v>
      </c>
      <c r="E49" s="11">
        <v>2.9184499999998605</v>
      </c>
    </row>
    <row r="50" spans="1:5" ht="24.75">
      <c r="A50" s="11" t="s">
        <v>237</v>
      </c>
      <c r="B50" s="11" t="s">
        <v>133</v>
      </c>
      <c r="C50" s="11" t="s">
        <v>138</v>
      </c>
      <c r="D50" s="11" t="s">
        <v>281</v>
      </c>
      <c r="E50" s="11">
        <v>2.8509500000001142</v>
      </c>
    </row>
    <row r="51" spans="1:5" ht="24.75">
      <c r="A51" s="11" t="s">
        <v>237</v>
      </c>
      <c r="B51" s="11" t="s">
        <v>133</v>
      </c>
      <c r="C51" s="11" t="s">
        <v>138</v>
      </c>
      <c r="D51" s="11" t="s">
        <v>282</v>
      </c>
      <c r="E51" s="11">
        <v>1.5645482268256281</v>
      </c>
    </row>
    <row r="52" spans="1:5" ht="24.75">
      <c r="A52" s="11" t="s">
        <v>237</v>
      </c>
      <c r="B52" s="11" t="s">
        <v>133</v>
      </c>
      <c r="C52" s="11" t="s">
        <v>138</v>
      </c>
      <c r="D52" s="11" t="s">
        <v>283</v>
      </c>
      <c r="E52" s="11">
        <v>0.19650000000002679</v>
      </c>
    </row>
    <row r="53" spans="1:5" ht="24.75">
      <c r="A53" s="11" t="s">
        <v>237</v>
      </c>
      <c r="B53" s="11" t="s">
        <v>133</v>
      </c>
      <c r="C53" s="11" t="s">
        <v>138</v>
      </c>
      <c r="D53" s="11" t="s">
        <v>284</v>
      </c>
      <c r="E53" s="11">
        <v>1.1989999999999961</v>
      </c>
    </row>
    <row r="54" spans="1:5" ht="24.75">
      <c r="A54" s="11" t="s">
        <v>237</v>
      </c>
      <c r="B54" s="11" t="s">
        <v>133</v>
      </c>
      <c r="C54" s="11" t="s">
        <v>138</v>
      </c>
      <c r="D54" s="11" t="s">
        <v>285</v>
      </c>
      <c r="E54" s="11">
        <v>1.0189999999999904</v>
      </c>
    </row>
    <row r="55" spans="1:5">
      <c r="A55" s="1" t="s">
        <v>126</v>
      </c>
      <c r="B55" s="1" t="s">
        <v>126</v>
      </c>
      <c r="C55" s="1">
        <f>SUBTOTAL(103,Elements13811[Elemento])</f>
        <v>48</v>
      </c>
      <c r="D55" s="1" t="s">
        <v>126</v>
      </c>
      <c r="E55" s="1">
        <f>SUBTOTAL(109,Elements13811[Totais:])</f>
        <v>68.633268334477435</v>
      </c>
    </row>
  </sheetData>
  <mergeCells count="3">
    <mergeCell ref="A1:E2"/>
    <mergeCell ref="A4:E4"/>
    <mergeCell ref="A5:E5"/>
  </mergeCells>
  <hyperlinks>
    <hyperlink ref="A1" location="'13.8.1'!A1" display="ELETROCALHA PERFURADA,COM TAMPA,TIPO ”U”,150X100MM,TRATAMENT O SUPERFICIAL PRE-ZINCADO A QUENTE,INCLUSIVE CONEXOES,ACESSO RIOS E FIXACAO SUPERIOR.FORNECIMENTO E COLOCACAO" xr:uid="{00000000-0004-0000-1D00-000000000000}"/>
    <hyperlink ref="B1" location="'13.8.1'!A1" display="ELETROCALHA PERFURADA,COM TAMPA,TIPO ”U”,150X100MM,TRATAMENT O SUPERFICIAL PRE-ZINCADO A QUENTE,INCLUSIVE CONEXOES,ACESSO RIOS E FIXACAO SUPERIOR.FORNECIMENTO E COLOCACAO" xr:uid="{00000000-0004-0000-1D00-000001000000}"/>
    <hyperlink ref="C1" location="'13.8.1'!A1" display="ELETROCALHA PERFURADA,COM TAMPA,TIPO ”U”,150X100MM,TRATAMENT O SUPERFICIAL PRE-ZINCADO A QUENTE,INCLUSIVE CONEXOES,ACESSO RIOS E FIXACAO SUPERIOR.FORNECIMENTO E COLOCACAO" xr:uid="{00000000-0004-0000-1D00-000002000000}"/>
    <hyperlink ref="D1" location="'13.8.1'!A1" display="ELETROCALHA PERFURADA,COM TAMPA,TIPO ”U”,150X100MM,TRATAMENT O SUPERFICIAL PRE-ZINCADO A QUENTE,INCLUSIVE CONEXOES,ACESSO RIOS E FIXACAO SUPERIOR.FORNECIMENTO E COLOCACAO" xr:uid="{00000000-0004-0000-1D00-000003000000}"/>
    <hyperlink ref="E1" location="'13.8.1'!A1" display="ELETROCALHA PERFURADA,COM TAMPA,TIPO ”U”,150X100MM,TRATAMENT O SUPERFICIAL PRE-ZINCADO A QUENTE,INCLUSIVE CONEXOES,ACESSO RIOS E FIXACAO SUPERIOR.FORNECIMENTO E COLOCACAO" xr:uid="{00000000-0004-0000-1D00-000004000000}"/>
    <hyperlink ref="A2" location="'13.8.1'!A1" display="ELETROCALHA PERFURADA,COM TAMPA,TIPO ”U”,150X100MM,TRATAMENT O SUPERFICIAL PRE-ZINCADO A QUENTE,INCLUSIVE CONEXOES,ACESSO RIOS E FIXACAO SUPERIOR.FORNECIMENTO E COLOCACAO" xr:uid="{00000000-0004-0000-1D00-000005000000}"/>
    <hyperlink ref="B2" location="'13.8.1'!A1" display="ELETROCALHA PERFURADA,COM TAMPA,TIPO ”U”,150X100MM,TRATAMENT O SUPERFICIAL PRE-ZINCADO A QUENTE,INCLUSIVE CONEXOES,ACESSO RIOS E FIXACAO SUPERIOR.FORNECIMENTO E COLOCACAO" xr:uid="{00000000-0004-0000-1D00-000006000000}"/>
    <hyperlink ref="C2" location="'13.8.1'!A1" display="ELETROCALHA PERFURADA,COM TAMPA,TIPO ”U”,150X100MM,TRATAMENT O SUPERFICIAL PRE-ZINCADO A QUENTE,INCLUSIVE CONEXOES,ACESSO RIOS E FIXACAO SUPERIOR.FORNECIMENTO E COLOCACAO" xr:uid="{00000000-0004-0000-1D00-000007000000}"/>
    <hyperlink ref="D2" location="'13.8.1'!A1" display="ELETROCALHA PERFURADA,COM TAMPA,TIPO ”U”,150X100MM,TRATAMENT O SUPERFICIAL PRE-ZINCADO A QUENTE,INCLUSIVE CONEXOES,ACESSO RIOS E FIXACAO SUPERIOR.FORNECIMENTO E COLOCACAO" xr:uid="{00000000-0004-0000-1D00-000008000000}"/>
    <hyperlink ref="E2" location="'13.8.1'!A1" display="ELETROCALHA PERFURADA,COM TAMPA,TIPO ”U”,150X100MM,TRATAMENT O SUPERFICIAL PRE-ZINCADO A QUENTE,INCLUSIVE CONEXOES,ACESSO RIOS E FIXACAO SUPERIOR.FORNECIMENTO E COLOCACAO" xr:uid="{00000000-0004-0000-1D00-000009000000}"/>
    <hyperlink ref="A4" location="'13.8.1'!A1" display="Bandejas de cabos (Comprimento)" xr:uid="{00000000-0004-0000-1D00-00000A000000}"/>
    <hyperlink ref="B4" location="'13.8.1'!A1" display="Bandejas de cabos (Comprimento)" xr:uid="{00000000-0004-0000-1D00-00000B000000}"/>
    <hyperlink ref="C4" location="'13.8.1'!A1" display="Bandejas de cabos (Comprimento)" xr:uid="{00000000-0004-0000-1D00-00000C000000}"/>
    <hyperlink ref="D4" location="'13.8.1'!A1" display="Bandejas de cabos (Comprimento)" xr:uid="{00000000-0004-0000-1D00-00000D000000}"/>
    <hyperlink ref="E4" location="'13.8.1'!A1" display="Bandejas de cabos (Comprimento)" xr:uid="{00000000-0004-0000-1D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E47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19</v>
      </c>
      <c r="B1" s="23" t="s">
        <v>19</v>
      </c>
      <c r="C1" s="23" t="s">
        <v>19</v>
      </c>
      <c r="D1" s="23" t="s">
        <v>19</v>
      </c>
      <c r="E1" s="23" t="s">
        <v>19</v>
      </c>
    </row>
    <row r="2" spans="1:5">
      <c r="A2" s="23" t="s">
        <v>19</v>
      </c>
      <c r="B2" s="23" t="s">
        <v>19</v>
      </c>
      <c r="C2" s="23" t="s">
        <v>19</v>
      </c>
      <c r="D2" s="23" t="s">
        <v>19</v>
      </c>
      <c r="E2" s="23" t="s">
        <v>19</v>
      </c>
    </row>
    <row r="4" spans="1:5">
      <c r="A4" s="18" t="s">
        <v>125</v>
      </c>
      <c r="B4" s="18" t="s">
        <v>125</v>
      </c>
      <c r="C4" s="18" t="s">
        <v>125</v>
      </c>
      <c r="D4" s="18" t="s">
        <v>125</v>
      </c>
      <c r="E4" s="18" t="s">
        <v>125</v>
      </c>
    </row>
    <row r="5" spans="1:5">
      <c r="A5" s="24" t="s">
        <v>126</v>
      </c>
      <c r="B5" s="24" t="s">
        <v>126</v>
      </c>
      <c r="C5" s="24" t="s">
        <v>126</v>
      </c>
      <c r="D5" s="24" t="s">
        <v>126</v>
      </c>
      <c r="E5" s="24" t="s">
        <v>126</v>
      </c>
    </row>
    <row r="6" spans="1:5">
      <c r="A6" s="10" t="s">
        <v>232</v>
      </c>
      <c r="B6" s="10" t="s">
        <v>233</v>
      </c>
      <c r="C6" s="10" t="s">
        <v>234</v>
      </c>
      <c r="D6" s="10" t="s">
        <v>235</v>
      </c>
      <c r="E6" s="10" t="s">
        <v>236</v>
      </c>
    </row>
    <row r="7" spans="1:5" ht="24.75">
      <c r="A7" s="11" t="s">
        <v>237</v>
      </c>
      <c r="B7" s="11" t="s">
        <v>133</v>
      </c>
      <c r="C7" s="11" t="s">
        <v>138</v>
      </c>
      <c r="D7" s="11" t="s">
        <v>286</v>
      </c>
      <c r="E7" s="11">
        <v>0.49729325762238347</v>
      </c>
    </row>
    <row r="8" spans="1:5" ht="24.75">
      <c r="A8" s="11" t="s">
        <v>237</v>
      </c>
      <c r="B8" s="11" t="s">
        <v>133</v>
      </c>
      <c r="C8" s="11" t="s">
        <v>138</v>
      </c>
      <c r="D8" s="11" t="s">
        <v>287</v>
      </c>
      <c r="E8" s="11">
        <v>1.9190000000000011</v>
      </c>
    </row>
    <row r="9" spans="1:5" ht="24.75">
      <c r="A9" s="11" t="s">
        <v>237</v>
      </c>
      <c r="B9" s="11" t="s">
        <v>133</v>
      </c>
      <c r="C9" s="11" t="s">
        <v>138</v>
      </c>
      <c r="D9" s="11" t="s">
        <v>288</v>
      </c>
      <c r="E9" s="11">
        <v>1.8517023271202353</v>
      </c>
    </row>
    <row r="10" spans="1:5" ht="24.75">
      <c r="A10" s="11" t="s">
        <v>237</v>
      </c>
      <c r="B10" s="11" t="s">
        <v>133</v>
      </c>
      <c r="C10" s="11" t="s">
        <v>138</v>
      </c>
      <c r="D10" s="11" t="s">
        <v>289</v>
      </c>
      <c r="E10" s="11">
        <v>1.0000000020596396</v>
      </c>
    </row>
    <row r="11" spans="1:5" ht="24.75">
      <c r="A11" s="11" t="s">
        <v>237</v>
      </c>
      <c r="B11" s="11" t="s">
        <v>133</v>
      </c>
      <c r="C11" s="11" t="s">
        <v>138</v>
      </c>
      <c r="D11" s="11" t="s">
        <v>290</v>
      </c>
      <c r="E11" s="11">
        <v>2.429197814518417</v>
      </c>
    </row>
    <row r="12" spans="1:5" ht="24.75">
      <c r="A12" s="11" t="s">
        <v>237</v>
      </c>
      <c r="B12" s="11" t="s">
        <v>133</v>
      </c>
      <c r="C12" s="11" t="s">
        <v>138</v>
      </c>
      <c r="D12" s="11" t="s">
        <v>291</v>
      </c>
      <c r="E12" s="11">
        <v>0.43899999998956096</v>
      </c>
    </row>
    <row r="13" spans="1:5" ht="24.75">
      <c r="A13" s="11" t="s">
        <v>237</v>
      </c>
      <c r="B13" s="11" t="s">
        <v>133</v>
      </c>
      <c r="C13" s="11" t="s">
        <v>138</v>
      </c>
      <c r="D13" s="11" t="s">
        <v>292</v>
      </c>
      <c r="E13" s="11">
        <v>1.3431627686753542</v>
      </c>
    </row>
    <row r="14" spans="1:5" ht="24.75">
      <c r="A14" s="11" t="s">
        <v>237</v>
      </c>
      <c r="B14" s="11" t="s">
        <v>133</v>
      </c>
      <c r="C14" s="11" t="s">
        <v>138</v>
      </c>
      <c r="D14" s="11" t="s">
        <v>293</v>
      </c>
      <c r="E14" s="11">
        <v>1.0579999999720788</v>
      </c>
    </row>
    <row r="15" spans="1:5" ht="24.75">
      <c r="A15" s="11" t="s">
        <v>237</v>
      </c>
      <c r="B15" s="11" t="s">
        <v>133</v>
      </c>
      <c r="C15" s="11" t="s">
        <v>138</v>
      </c>
      <c r="D15" s="11" t="s">
        <v>294</v>
      </c>
      <c r="E15" s="11">
        <v>0.31229483991204399</v>
      </c>
    </row>
    <row r="16" spans="1:5" ht="24.75">
      <c r="A16" s="11" t="s">
        <v>237</v>
      </c>
      <c r="B16" s="11" t="s">
        <v>133</v>
      </c>
      <c r="C16" s="11" t="s">
        <v>138</v>
      </c>
      <c r="D16" s="11" t="s">
        <v>295</v>
      </c>
      <c r="E16" s="11">
        <v>0.3619289902030593</v>
      </c>
    </row>
    <row r="17" spans="1:5" ht="24.75">
      <c r="A17" s="11" t="s">
        <v>237</v>
      </c>
      <c r="B17" s="11" t="s">
        <v>133</v>
      </c>
      <c r="C17" s="11" t="s">
        <v>138</v>
      </c>
      <c r="D17" s="11" t="s">
        <v>296</v>
      </c>
      <c r="E17" s="11">
        <v>0.76543910516507041</v>
      </c>
    </row>
    <row r="18" spans="1:5" ht="24.75">
      <c r="A18" s="11" t="s">
        <v>237</v>
      </c>
      <c r="B18" s="11" t="s">
        <v>133</v>
      </c>
      <c r="C18" s="11" t="s">
        <v>138</v>
      </c>
      <c r="D18" s="11" t="s">
        <v>297</v>
      </c>
      <c r="E18" s="11">
        <v>0.27899999999998748</v>
      </c>
    </row>
    <row r="19" spans="1:5" ht="24.75">
      <c r="A19" s="11" t="s">
        <v>237</v>
      </c>
      <c r="B19" s="11" t="s">
        <v>133</v>
      </c>
      <c r="C19" s="11" t="s">
        <v>138</v>
      </c>
      <c r="D19" s="11" t="s">
        <v>298</v>
      </c>
      <c r="E19" s="11">
        <v>1.9095857934025227</v>
      </c>
    </row>
    <row r="20" spans="1:5" ht="24.75">
      <c r="A20" s="11" t="s">
        <v>237</v>
      </c>
      <c r="B20" s="11" t="s">
        <v>133</v>
      </c>
      <c r="C20" s="11" t="s">
        <v>138</v>
      </c>
      <c r="D20" s="11" t="s">
        <v>299</v>
      </c>
      <c r="E20" s="11">
        <v>0.2989999999999951</v>
      </c>
    </row>
    <row r="21" spans="1:5" ht="24.75">
      <c r="A21" s="11" t="s">
        <v>237</v>
      </c>
      <c r="B21" s="11" t="s">
        <v>133</v>
      </c>
      <c r="C21" s="11" t="s">
        <v>138</v>
      </c>
      <c r="D21" s="11" t="s">
        <v>300</v>
      </c>
      <c r="E21" s="11">
        <v>2.8660551426558909</v>
      </c>
    </row>
    <row r="22" spans="1:5" ht="24.75">
      <c r="A22" s="11" t="s">
        <v>237</v>
      </c>
      <c r="B22" s="11" t="s">
        <v>133</v>
      </c>
      <c r="C22" s="11" t="s">
        <v>138</v>
      </c>
      <c r="D22" s="11" t="s">
        <v>301</v>
      </c>
      <c r="E22" s="11">
        <v>0.27899999999997505</v>
      </c>
    </row>
    <row r="23" spans="1:5" ht="24.75">
      <c r="A23" s="11" t="s">
        <v>237</v>
      </c>
      <c r="B23" s="11" t="s">
        <v>133</v>
      </c>
      <c r="C23" s="11" t="s">
        <v>138</v>
      </c>
      <c r="D23" s="11" t="s">
        <v>302</v>
      </c>
      <c r="E23" s="11">
        <v>2.998999999999997</v>
      </c>
    </row>
    <row r="24" spans="1:5" ht="24.75">
      <c r="A24" s="11" t="s">
        <v>237</v>
      </c>
      <c r="B24" s="11" t="s">
        <v>133</v>
      </c>
      <c r="C24" s="11" t="s">
        <v>138</v>
      </c>
      <c r="D24" s="11" t="s">
        <v>303</v>
      </c>
      <c r="E24" s="11">
        <v>2.9989999999999966</v>
      </c>
    </row>
    <row r="25" spans="1:5" ht="24.75">
      <c r="A25" s="11" t="s">
        <v>237</v>
      </c>
      <c r="B25" s="11" t="s">
        <v>133</v>
      </c>
      <c r="C25" s="11" t="s">
        <v>138</v>
      </c>
      <c r="D25" s="11" t="s">
        <v>304</v>
      </c>
      <c r="E25" s="11">
        <v>2.9653787128430906</v>
      </c>
    </row>
    <row r="26" spans="1:5" ht="24.75">
      <c r="A26" s="11" t="s">
        <v>237</v>
      </c>
      <c r="B26" s="11" t="s">
        <v>133</v>
      </c>
      <c r="C26" s="11" t="s">
        <v>138</v>
      </c>
      <c r="D26" s="11" t="s">
        <v>305</v>
      </c>
      <c r="E26" s="11">
        <v>2.518000000000006</v>
      </c>
    </row>
    <row r="27" spans="1:5" ht="24.75">
      <c r="A27" s="11" t="s">
        <v>237</v>
      </c>
      <c r="B27" s="11" t="s">
        <v>133</v>
      </c>
      <c r="C27" s="11" t="s">
        <v>138</v>
      </c>
      <c r="D27" s="11" t="s">
        <v>306</v>
      </c>
      <c r="E27" s="11">
        <v>0.49116522007981167</v>
      </c>
    </row>
    <row r="28" spans="1:5" ht="24.75">
      <c r="A28" s="11" t="s">
        <v>237</v>
      </c>
      <c r="B28" s="11" t="s">
        <v>133</v>
      </c>
      <c r="C28" s="11" t="s">
        <v>138</v>
      </c>
      <c r="D28" s="11" t="s">
        <v>307</v>
      </c>
      <c r="E28" s="11">
        <v>2.3989999999999907</v>
      </c>
    </row>
    <row r="29" spans="1:5" ht="24.75">
      <c r="A29" s="11" t="s">
        <v>237</v>
      </c>
      <c r="B29" s="11" t="s">
        <v>133</v>
      </c>
      <c r="C29" s="11" t="s">
        <v>138</v>
      </c>
      <c r="D29" s="11" t="s">
        <v>308</v>
      </c>
      <c r="E29" s="11">
        <v>2.1817923850299907</v>
      </c>
    </row>
    <row r="30" spans="1:5" ht="24.75">
      <c r="A30" s="11" t="s">
        <v>237</v>
      </c>
      <c r="B30" s="11" t="s">
        <v>133</v>
      </c>
      <c r="C30" s="11" t="s">
        <v>138</v>
      </c>
      <c r="D30" s="11" t="s">
        <v>309</v>
      </c>
      <c r="E30" s="11">
        <v>0.1224538988003797</v>
      </c>
    </row>
    <row r="31" spans="1:5" ht="24.75">
      <c r="A31" s="11" t="s">
        <v>237</v>
      </c>
      <c r="B31" s="11" t="s">
        <v>133</v>
      </c>
      <c r="C31" s="11" t="s">
        <v>138</v>
      </c>
      <c r="D31" s="11" t="s">
        <v>310</v>
      </c>
      <c r="E31" s="11">
        <v>0.33899999999128272</v>
      </c>
    </row>
    <row r="32" spans="1:5" ht="24.75">
      <c r="A32" s="11" t="s">
        <v>237</v>
      </c>
      <c r="B32" s="11" t="s">
        <v>133</v>
      </c>
      <c r="C32" s="11" t="s">
        <v>138</v>
      </c>
      <c r="D32" s="11" t="s">
        <v>311</v>
      </c>
      <c r="E32" s="11">
        <v>3.1753243141676553</v>
      </c>
    </row>
    <row r="33" spans="1:5" ht="24.75">
      <c r="A33" s="11" t="s">
        <v>237</v>
      </c>
      <c r="B33" s="11" t="s">
        <v>133</v>
      </c>
      <c r="C33" s="11" t="s">
        <v>138</v>
      </c>
      <c r="D33" s="11" t="s">
        <v>312</v>
      </c>
      <c r="E33" s="11">
        <v>3.0044973588113697</v>
      </c>
    </row>
    <row r="34" spans="1:5" ht="24.75">
      <c r="A34" s="11" t="s">
        <v>237</v>
      </c>
      <c r="B34" s="11" t="s">
        <v>133</v>
      </c>
      <c r="C34" s="11" t="s">
        <v>138</v>
      </c>
      <c r="D34" s="11" t="s">
        <v>313</v>
      </c>
      <c r="E34" s="11">
        <v>2.9989999999999939</v>
      </c>
    </row>
    <row r="35" spans="1:5" ht="24.75">
      <c r="A35" s="11" t="s">
        <v>237</v>
      </c>
      <c r="B35" s="11" t="s">
        <v>133</v>
      </c>
      <c r="C35" s="11" t="s">
        <v>138</v>
      </c>
      <c r="D35" s="11" t="s">
        <v>314</v>
      </c>
      <c r="E35" s="11">
        <v>2.8657621032871292</v>
      </c>
    </row>
    <row r="36" spans="1:5" ht="24.75">
      <c r="A36" s="11" t="s">
        <v>237</v>
      </c>
      <c r="B36" s="11" t="s">
        <v>133</v>
      </c>
      <c r="C36" s="11" t="s">
        <v>138</v>
      </c>
      <c r="D36" s="11" t="s">
        <v>315</v>
      </c>
      <c r="E36" s="11">
        <v>0.59900000000000531</v>
      </c>
    </row>
    <row r="37" spans="1:5" ht="24.75">
      <c r="A37" s="11" t="s">
        <v>237</v>
      </c>
      <c r="B37" s="11" t="s">
        <v>133</v>
      </c>
      <c r="C37" s="11" t="s">
        <v>138</v>
      </c>
      <c r="D37" s="11" t="s">
        <v>316</v>
      </c>
      <c r="E37" s="11">
        <v>2.5990000000000033</v>
      </c>
    </row>
    <row r="38" spans="1:5" ht="24.75">
      <c r="A38" s="11" t="s">
        <v>237</v>
      </c>
      <c r="B38" s="11" t="s">
        <v>133</v>
      </c>
      <c r="C38" s="11" t="s">
        <v>138</v>
      </c>
      <c r="D38" s="11" t="s">
        <v>317</v>
      </c>
      <c r="E38" s="11">
        <v>2.9262118921608926</v>
      </c>
    </row>
    <row r="39" spans="1:5" ht="24.75">
      <c r="A39" s="11" t="s">
        <v>237</v>
      </c>
      <c r="B39" s="11" t="s">
        <v>133</v>
      </c>
      <c r="C39" s="11" t="s">
        <v>138</v>
      </c>
      <c r="D39" s="11" t="s">
        <v>318</v>
      </c>
      <c r="E39" s="11">
        <v>0.69900000000000406</v>
      </c>
    </row>
    <row r="40" spans="1:5" ht="24.75">
      <c r="A40" s="11" t="s">
        <v>237</v>
      </c>
      <c r="B40" s="11" t="s">
        <v>133</v>
      </c>
      <c r="C40" s="11" t="s">
        <v>138</v>
      </c>
      <c r="D40" s="11" t="s">
        <v>319</v>
      </c>
      <c r="E40" s="11">
        <v>2.9990000000000068</v>
      </c>
    </row>
    <row r="41" spans="1:5" ht="24.75">
      <c r="A41" s="11" t="s">
        <v>237</v>
      </c>
      <c r="B41" s="11" t="s">
        <v>133</v>
      </c>
      <c r="C41" s="11" t="s">
        <v>138</v>
      </c>
      <c r="D41" s="11" t="s">
        <v>320</v>
      </c>
      <c r="E41" s="11">
        <v>2.9989999999999983</v>
      </c>
    </row>
    <row r="42" spans="1:5" ht="24.75">
      <c r="A42" s="11" t="s">
        <v>237</v>
      </c>
      <c r="B42" s="11" t="s">
        <v>133</v>
      </c>
      <c r="C42" s="11" t="s">
        <v>138</v>
      </c>
      <c r="D42" s="11" t="s">
        <v>321</v>
      </c>
      <c r="E42" s="11">
        <v>2.7954206542449249</v>
      </c>
    </row>
    <row r="43" spans="1:5" ht="24.75">
      <c r="A43" s="11" t="s">
        <v>237</v>
      </c>
      <c r="B43" s="11" t="s">
        <v>133</v>
      </c>
      <c r="C43" s="11" t="s">
        <v>138</v>
      </c>
      <c r="D43" s="11" t="s">
        <v>322</v>
      </c>
      <c r="E43" s="11">
        <v>1.0589999999999931</v>
      </c>
    </row>
    <row r="44" spans="1:5" ht="24.75">
      <c r="A44" s="11" t="s">
        <v>237</v>
      </c>
      <c r="B44" s="11" t="s">
        <v>133</v>
      </c>
      <c r="C44" s="11" t="s">
        <v>138</v>
      </c>
      <c r="D44" s="11" t="s">
        <v>323</v>
      </c>
      <c r="E44" s="11">
        <v>0.34807672268872669</v>
      </c>
    </row>
    <row r="45" spans="1:5" ht="24.75">
      <c r="A45" s="11" t="s">
        <v>237</v>
      </c>
      <c r="B45" s="11" t="s">
        <v>133</v>
      </c>
      <c r="C45" s="11" t="s">
        <v>138</v>
      </c>
      <c r="D45" s="11" t="s">
        <v>324</v>
      </c>
      <c r="E45" s="11">
        <v>0.13591999567248367</v>
      </c>
    </row>
    <row r="46" spans="1:5" ht="24.75">
      <c r="A46" s="11" t="s">
        <v>237</v>
      </c>
      <c r="B46" s="11" t="s">
        <v>133</v>
      </c>
      <c r="C46" s="11" t="s">
        <v>138</v>
      </c>
      <c r="D46" s="11" t="s">
        <v>325</v>
      </c>
      <c r="E46" s="11">
        <v>0.56777568583235061</v>
      </c>
    </row>
    <row r="47" spans="1:5">
      <c r="A47" s="1" t="s">
        <v>126</v>
      </c>
      <c r="B47" s="1" t="s">
        <v>126</v>
      </c>
      <c r="C47" s="1">
        <f>SUBTOTAL(103,Elements13821[Elemento])</f>
        <v>40</v>
      </c>
      <c r="D47" s="1" t="s">
        <v>126</v>
      </c>
      <c r="E47" s="1">
        <f>SUBTOTAL(109,Elements13821[Totais:])</f>
        <v>64.396438984906283</v>
      </c>
    </row>
  </sheetData>
  <mergeCells count="3">
    <mergeCell ref="A1:E2"/>
    <mergeCell ref="A4:E4"/>
    <mergeCell ref="A5:E5"/>
  </mergeCells>
  <hyperlinks>
    <hyperlink ref="A1" location="'13.8.2'!A1" display="ELETROCALHA PERFURADA,COM TAMPA,TIPO ”U”,200X75MM,TRATAMENTO SUPERFICIAL PRE-ZINCADO A QUENTE,EXCLUSIVE CONEXOES,ACESSOR IOS E FIXACAO SUPERIOR.FORNECIMENTO E COLOCACAO" xr:uid="{00000000-0004-0000-1E00-000000000000}"/>
    <hyperlink ref="B1" location="'13.8.2'!A1" display="ELETROCALHA PERFURADA,COM TAMPA,TIPO ”U”,200X75MM,TRATAMENTO SUPERFICIAL PRE-ZINCADO A QUENTE,EXCLUSIVE CONEXOES,ACESSOR IOS E FIXACAO SUPERIOR.FORNECIMENTO E COLOCACAO" xr:uid="{00000000-0004-0000-1E00-000001000000}"/>
    <hyperlink ref="C1" location="'13.8.2'!A1" display="ELETROCALHA PERFURADA,COM TAMPA,TIPO ”U”,200X75MM,TRATAMENTO SUPERFICIAL PRE-ZINCADO A QUENTE,EXCLUSIVE CONEXOES,ACESSOR IOS E FIXACAO SUPERIOR.FORNECIMENTO E COLOCACAO" xr:uid="{00000000-0004-0000-1E00-000002000000}"/>
    <hyperlink ref="D1" location="'13.8.2'!A1" display="ELETROCALHA PERFURADA,COM TAMPA,TIPO ”U”,200X75MM,TRATAMENTO SUPERFICIAL PRE-ZINCADO A QUENTE,EXCLUSIVE CONEXOES,ACESSOR IOS E FIXACAO SUPERIOR.FORNECIMENTO E COLOCACAO" xr:uid="{00000000-0004-0000-1E00-000003000000}"/>
    <hyperlink ref="E1" location="'13.8.2'!A1" display="ELETROCALHA PERFURADA,COM TAMPA,TIPO ”U”,200X75MM,TRATAMENTO SUPERFICIAL PRE-ZINCADO A QUENTE,EXCLUSIVE CONEXOES,ACESSOR IOS E FIXACAO SUPERIOR.FORNECIMENTO E COLOCACAO" xr:uid="{00000000-0004-0000-1E00-000004000000}"/>
    <hyperlink ref="A2" location="'13.8.2'!A1" display="ELETROCALHA PERFURADA,COM TAMPA,TIPO ”U”,200X75MM,TRATAMENTO SUPERFICIAL PRE-ZINCADO A QUENTE,EXCLUSIVE CONEXOES,ACESSOR IOS E FIXACAO SUPERIOR.FORNECIMENTO E COLOCACAO" xr:uid="{00000000-0004-0000-1E00-000005000000}"/>
    <hyperlink ref="B2" location="'13.8.2'!A1" display="ELETROCALHA PERFURADA,COM TAMPA,TIPO ”U”,200X75MM,TRATAMENTO SUPERFICIAL PRE-ZINCADO A QUENTE,EXCLUSIVE CONEXOES,ACESSOR IOS E FIXACAO SUPERIOR.FORNECIMENTO E COLOCACAO" xr:uid="{00000000-0004-0000-1E00-000006000000}"/>
    <hyperlink ref="C2" location="'13.8.2'!A1" display="ELETROCALHA PERFURADA,COM TAMPA,TIPO ”U”,200X75MM,TRATAMENTO SUPERFICIAL PRE-ZINCADO A QUENTE,EXCLUSIVE CONEXOES,ACESSOR IOS E FIXACAO SUPERIOR.FORNECIMENTO E COLOCACAO" xr:uid="{00000000-0004-0000-1E00-000007000000}"/>
    <hyperlink ref="D2" location="'13.8.2'!A1" display="ELETROCALHA PERFURADA,COM TAMPA,TIPO ”U”,200X75MM,TRATAMENTO SUPERFICIAL PRE-ZINCADO A QUENTE,EXCLUSIVE CONEXOES,ACESSOR IOS E FIXACAO SUPERIOR.FORNECIMENTO E COLOCACAO" xr:uid="{00000000-0004-0000-1E00-000008000000}"/>
    <hyperlink ref="E2" location="'13.8.2'!A1" display="ELETROCALHA PERFURADA,COM TAMPA,TIPO ”U”,200X75MM,TRATAMENTO SUPERFICIAL PRE-ZINCADO A QUENTE,EXCLUSIVE CONEXOES,ACESSOR IOS E FIXACAO SUPERIOR.FORNECIMENTO E COLOCACAO" xr:uid="{00000000-0004-0000-1E00-000009000000}"/>
    <hyperlink ref="A4" location="'13.8.2'!A1" display="Bandejas de cabos (Comprimento)" xr:uid="{00000000-0004-0000-1E00-00000A000000}"/>
    <hyperlink ref="B4" location="'13.8.2'!A1" display="Bandejas de cabos (Comprimento)" xr:uid="{00000000-0004-0000-1E00-00000B000000}"/>
    <hyperlink ref="C4" location="'13.8.2'!A1" display="Bandejas de cabos (Comprimento)" xr:uid="{00000000-0004-0000-1E00-00000C000000}"/>
    <hyperlink ref="D4" location="'13.8.2'!A1" display="Bandejas de cabos (Comprimento)" xr:uid="{00000000-0004-0000-1E00-00000D000000}"/>
    <hyperlink ref="E4" location="'13.8.2'!A1" display="Bandejas de cabos (Comprimento)" xr:uid="{00000000-0004-0000-1E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E49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24</v>
      </c>
      <c r="B1" s="23" t="s">
        <v>24</v>
      </c>
      <c r="C1" s="23" t="s">
        <v>24</v>
      </c>
      <c r="D1" s="23" t="s">
        <v>24</v>
      </c>
      <c r="E1" s="23" t="s">
        <v>24</v>
      </c>
    </row>
    <row r="2" spans="1:5">
      <c r="A2" s="23" t="s">
        <v>24</v>
      </c>
      <c r="B2" s="23" t="s">
        <v>24</v>
      </c>
      <c r="C2" s="23" t="s">
        <v>24</v>
      </c>
      <c r="D2" s="23" t="s">
        <v>24</v>
      </c>
      <c r="E2" s="23" t="s">
        <v>24</v>
      </c>
    </row>
    <row r="4" spans="1:5">
      <c r="A4" s="18" t="s">
        <v>125</v>
      </c>
      <c r="B4" s="18" t="s">
        <v>125</v>
      </c>
      <c r="C4" s="18" t="s">
        <v>125</v>
      </c>
      <c r="D4" s="18" t="s">
        <v>125</v>
      </c>
      <c r="E4" s="18" t="s">
        <v>125</v>
      </c>
    </row>
    <row r="5" spans="1:5">
      <c r="A5" s="24" t="s">
        <v>126</v>
      </c>
      <c r="B5" s="24" t="s">
        <v>126</v>
      </c>
      <c r="C5" s="24" t="s">
        <v>126</v>
      </c>
      <c r="D5" s="24" t="s">
        <v>126</v>
      </c>
      <c r="E5" s="24" t="s">
        <v>126</v>
      </c>
    </row>
    <row r="6" spans="1:5">
      <c r="A6" s="10" t="s">
        <v>232</v>
      </c>
      <c r="B6" s="10" t="s">
        <v>233</v>
      </c>
      <c r="C6" s="10" t="s">
        <v>234</v>
      </c>
      <c r="D6" s="10" t="s">
        <v>235</v>
      </c>
      <c r="E6" s="10" t="s">
        <v>236</v>
      </c>
    </row>
    <row r="7" spans="1:5" ht="24.75">
      <c r="A7" s="11" t="s">
        <v>237</v>
      </c>
      <c r="B7" s="11" t="s">
        <v>133</v>
      </c>
      <c r="C7" s="11" t="s">
        <v>150</v>
      </c>
      <c r="D7" s="11" t="s">
        <v>326</v>
      </c>
      <c r="E7" s="11">
        <v>1.0304451736216991</v>
      </c>
    </row>
    <row r="8" spans="1:5" ht="24.75">
      <c r="A8" s="11" t="s">
        <v>237</v>
      </c>
      <c r="B8" s="11" t="s">
        <v>133</v>
      </c>
      <c r="C8" s="11" t="s">
        <v>150</v>
      </c>
      <c r="D8" s="11" t="s">
        <v>327</v>
      </c>
      <c r="E8" s="11">
        <v>1.4840243803111575</v>
      </c>
    </row>
    <row r="9" spans="1:5" ht="24.75">
      <c r="A9" s="11" t="s">
        <v>237</v>
      </c>
      <c r="B9" s="11" t="s">
        <v>133</v>
      </c>
      <c r="C9" s="11" t="s">
        <v>150</v>
      </c>
      <c r="D9" s="11" t="s">
        <v>328</v>
      </c>
      <c r="E9" s="11">
        <v>0.56768704143189708</v>
      </c>
    </row>
    <row r="10" spans="1:5" ht="24.75">
      <c r="A10" s="11" t="s">
        <v>237</v>
      </c>
      <c r="B10" s="11" t="s">
        <v>133</v>
      </c>
      <c r="C10" s="11" t="s">
        <v>150</v>
      </c>
      <c r="D10" s="11" t="s">
        <v>329</v>
      </c>
      <c r="E10" s="11">
        <v>5.2870487134023181</v>
      </c>
    </row>
    <row r="11" spans="1:5" ht="24.75">
      <c r="A11" s="11" t="s">
        <v>237</v>
      </c>
      <c r="B11" s="11" t="s">
        <v>133</v>
      </c>
      <c r="C11" s="11" t="s">
        <v>150</v>
      </c>
      <c r="D11" s="11" t="s">
        <v>330</v>
      </c>
      <c r="E11" s="11">
        <v>5.825573904500728</v>
      </c>
    </row>
    <row r="12" spans="1:5" ht="24.75">
      <c r="A12" s="11" t="s">
        <v>237</v>
      </c>
      <c r="B12" s="11" t="s">
        <v>133</v>
      </c>
      <c r="C12" s="11" t="s">
        <v>150</v>
      </c>
      <c r="D12" s="11" t="s">
        <v>331</v>
      </c>
      <c r="E12" s="11">
        <v>0.26901653348752513</v>
      </c>
    </row>
    <row r="13" spans="1:5" ht="24.75">
      <c r="A13" s="11" t="s">
        <v>237</v>
      </c>
      <c r="B13" s="11" t="s">
        <v>133</v>
      </c>
      <c r="C13" s="11" t="s">
        <v>150</v>
      </c>
      <c r="D13" s="11" t="s">
        <v>332</v>
      </c>
      <c r="E13" s="11">
        <v>1.2517263456279637</v>
      </c>
    </row>
    <row r="14" spans="1:5" ht="24.75">
      <c r="A14" s="11" t="s">
        <v>237</v>
      </c>
      <c r="B14" s="11" t="s">
        <v>133</v>
      </c>
      <c r="C14" s="11" t="s">
        <v>150</v>
      </c>
      <c r="D14" s="11" t="s">
        <v>333</v>
      </c>
      <c r="E14" s="11">
        <v>0.68500782827520856</v>
      </c>
    </row>
    <row r="15" spans="1:5" ht="24.75">
      <c r="A15" s="11" t="s">
        <v>237</v>
      </c>
      <c r="B15" s="11" t="s">
        <v>133</v>
      </c>
      <c r="C15" s="11" t="s">
        <v>150</v>
      </c>
      <c r="D15" s="11" t="s">
        <v>334</v>
      </c>
      <c r="E15" s="11">
        <v>5.4934597073742735</v>
      </c>
    </row>
    <row r="16" spans="1:5" ht="24.75">
      <c r="A16" s="11" t="s">
        <v>237</v>
      </c>
      <c r="B16" s="11" t="s">
        <v>133</v>
      </c>
      <c r="C16" s="11" t="s">
        <v>150</v>
      </c>
      <c r="D16" s="11" t="s">
        <v>335</v>
      </c>
      <c r="E16" s="11">
        <v>4.1400574185001338</v>
      </c>
    </row>
    <row r="17" spans="1:5" ht="24.75">
      <c r="A17" s="11" t="s">
        <v>237</v>
      </c>
      <c r="B17" s="11" t="s">
        <v>133</v>
      </c>
      <c r="C17" s="11" t="s">
        <v>150</v>
      </c>
      <c r="D17" s="11" t="s">
        <v>336</v>
      </c>
      <c r="E17" s="11">
        <v>0.14470012879996694</v>
      </c>
    </row>
    <row r="18" spans="1:5" ht="24.75">
      <c r="A18" s="11" t="s">
        <v>237</v>
      </c>
      <c r="B18" s="11" t="s">
        <v>133</v>
      </c>
      <c r="C18" s="11" t="s">
        <v>150</v>
      </c>
      <c r="D18" s="11" t="s">
        <v>337</v>
      </c>
      <c r="E18" s="11">
        <v>4.8354188157051077</v>
      </c>
    </row>
    <row r="19" spans="1:5" ht="24.75">
      <c r="A19" s="11" t="s">
        <v>237</v>
      </c>
      <c r="B19" s="11" t="s">
        <v>133</v>
      </c>
      <c r="C19" s="11" t="s">
        <v>150</v>
      </c>
      <c r="D19" s="11" t="s">
        <v>338</v>
      </c>
      <c r="E19" s="11">
        <v>0.18020015320008267</v>
      </c>
    </row>
    <row r="20" spans="1:5" ht="24.75">
      <c r="A20" s="11" t="s">
        <v>237</v>
      </c>
      <c r="B20" s="11" t="s">
        <v>133</v>
      </c>
      <c r="C20" s="11" t="s">
        <v>150</v>
      </c>
      <c r="D20" s="11" t="s">
        <v>339</v>
      </c>
      <c r="E20" s="11">
        <v>3.8553696020854646</v>
      </c>
    </row>
    <row r="21" spans="1:5" ht="24.75">
      <c r="A21" s="11" t="s">
        <v>237</v>
      </c>
      <c r="B21" s="11" t="s">
        <v>133</v>
      </c>
      <c r="C21" s="11" t="s">
        <v>150</v>
      </c>
      <c r="D21" s="11" t="s">
        <v>340</v>
      </c>
      <c r="E21" s="11">
        <v>0.22447098985114733</v>
      </c>
    </row>
    <row r="22" spans="1:5" ht="24.75">
      <c r="A22" s="11" t="s">
        <v>237</v>
      </c>
      <c r="B22" s="11" t="s">
        <v>133</v>
      </c>
      <c r="C22" s="11" t="s">
        <v>150</v>
      </c>
      <c r="D22" s="11" t="s">
        <v>341</v>
      </c>
      <c r="E22" s="11">
        <v>0.13889115122372891</v>
      </c>
    </row>
    <row r="23" spans="1:5" ht="24.75">
      <c r="A23" s="11" t="s">
        <v>237</v>
      </c>
      <c r="B23" s="11" t="s">
        <v>133</v>
      </c>
      <c r="C23" s="11" t="s">
        <v>150</v>
      </c>
      <c r="D23" s="11" t="s">
        <v>342</v>
      </c>
      <c r="E23" s="11">
        <v>1.2243740462038462</v>
      </c>
    </row>
    <row r="24" spans="1:5" ht="24.75">
      <c r="A24" s="11" t="s">
        <v>237</v>
      </c>
      <c r="B24" s="11" t="s">
        <v>133</v>
      </c>
      <c r="C24" s="11" t="s">
        <v>150</v>
      </c>
      <c r="D24" s="11" t="s">
        <v>343</v>
      </c>
      <c r="E24" s="11">
        <v>0.18499999999999273</v>
      </c>
    </row>
    <row r="25" spans="1:5" ht="24.75">
      <c r="A25" s="11" t="s">
        <v>237</v>
      </c>
      <c r="B25" s="11" t="s">
        <v>133</v>
      </c>
      <c r="C25" s="11" t="s">
        <v>150</v>
      </c>
      <c r="D25" s="11" t="s">
        <v>344</v>
      </c>
      <c r="E25" s="11">
        <v>8.1014438026582716E-2</v>
      </c>
    </row>
    <row r="26" spans="1:5" ht="24.75">
      <c r="A26" s="11" t="s">
        <v>237</v>
      </c>
      <c r="B26" s="11" t="s">
        <v>133</v>
      </c>
      <c r="C26" s="11" t="s">
        <v>150</v>
      </c>
      <c r="D26" s="11" t="s">
        <v>345</v>
      </c>
      <c r="E26" s="11">
        <v>4.6512714664145722</v>
      </c>
    </row>
    <row r="27" spans="1:5" ht="24.75">
      <c r="A27" s="11" t="s">
        <v>237</v>
      </c>
      <c r="B27" s="11" t="s">
        <v>133</v>
      </c>
      <c r="C27" s="11" t="s">
        <v>150</v>
      </c>
      <c r="D27" s="11" t="s">
        <v>346</v>
      </c>
      <c r="E27" s="11">
        <v>0.62375118294498555</v>
      </c>
    </row>
    <row r="28" spans="1:5" ht="24.75">
      <c r="A28" s="11" t="s">
        <v>237</v>
      </c>
      <c r="B28" s="11" t="s">
        <v>133</v>
      </c>
      <c r="C28" s="11" t="s">
        <v>150</v>
      </c>
      <c r="D28" s="11" t="s">
        <v>347</v>
      </c>
      <c r="E28" s="11">
        <v>1.6795000000000049</v>
      </c>
    </row>
    <row r="29" spans="1:5" ht="24.75">
      <c r="A29" s="11" t="s">
        <v>237</v>
      </c>
      <c r="B29" s="11" t="s">
        <v>133</v>
      </c>
      <c r="C29" s="11" t="s">
        <v>150</v>
      </c>
      <c r="D29" s="11" t="s">
        <v>348</v>
      </c>
      <c r="E29" s="11">
        <v>1.243680172390274</v>
      </c>
    </row>
    <row r="30" spans="1:5" ht="24.75">
      <c r="A30" s="11" t="s">
        <v>237</v>
      </c>
      <c r="B30" s="11" t="s">
        <v>133</v>
      </c>
      <c r="C30" s="11" t="s">
        <v>150</v>
      </c>
      <c r="D30" s="11" t="s">
        <v>349</v>
      </c>
      <c r="E30" s="11">
        <v>0.97950005392157957</v>
      </c>
    </row>
    <row r="31" spans="1:5" ht="24.75">
      <c r="A31" s="11" t="s">
        <v>237</v>
      </c>
      <c r="B31" s="11" t="s">
        <v>133</v>
      </c>
      <c r="C31" s="11" t="s">
        <v>150</v>
      </c>
      <c r="D31" s="11" t="s">
        <v>350</v>
      </c>
      <c r="E31" s="11">
        <v>0.61302985906616436</v>
      </c>
    </row>
    <row r="32" spans="1:5" ht="24.75">
      <c r="A32" s="11" t="s">
        <v>237</v>
      </c>
      <c r="B32" s="11" t="s">
        <v>133</v>
      </c>
      <c r="C32" s="11" t="s">
        <v>150</v>
      </c>
      <c r="D32" s="11" t="s">
        <v>351</v>
      </c>
      <c r="E32" s="11">
        <v>0.3553570499095064</v>
      </c>
    </row>
    <row r="33" spans="1:5" ht="24.75">
      <c r="A33" s="11" t="s">
        <v>237</v>
      </c>
      <c r="B33" s="11" t="s">
        <v>133</v>
      </c>
      <c r="C33" s="11" t="s">
        <v>150</v>
      </c>
      <c r="D33" s="11" t="s">
        <v>352</v>
      </c>
      <c r="E33" s="11">
        <v>0.5788045539639759</v>
      </c>
    </row>
    <row r="34" spans="1:5" ht="24.75">
      <c r="A34" s="11" t="s">
        <v>237</v>
      </c>
      <c r="B34" s="11" t="s">
        <v>133</v>
      </c>
      <c r="C34" s="11" t="s">
        <v>150</v>
      </c>
      <c r="D34" s="11" t="s">
        <v>353</v>
      </c>
      <c r="E34" s="11">
        <v>3.3003921780721441</v>
      </c>
    </row>
    <row r="35" spans="1:5" ht="24.75">
      <c r="A35" s="11" t="s">
        <v>237</v>
      </c>
      <c r="B35" s="11" t="s">
        <v>133</v>
      </c>
      <c r="C35" s="11" t="s">
        <v>150</v>
      </c>
      <c r="D35" s="11" t="s">
        <v>354</v>
      </c>
      <c r="E35" s="11">
        <v>0.17935381717152779</v>
      </c>
    </row>
    <row r="36" spans="1:5" ht="24.75">
      <c r="A36" s="11" t="s">
        <v>237</v>
      </c>
      <c r="B36" s="11" t="s">
        <v>133</v>
      </c>
      <c r="C36" s="11" t="s">
        <v>150</v>
      </c>
      <c r="D36" s="11" t="s">
        <v>355</v>
      </c>
      <c r="E36" s="11">
        <v>4.0567071784431823</v>
      </c>
    </row>
    <row r="37" spans="1:5" ht="24.75">
      <c r="A37" s="11" t="s">
        <v>237</v>
      </c>
      <c r="B37" s="11" t="s">
        <v>133</v>
      </c>
      <c r="C37" s="11" t="s">
        <v>150</v>
      </c>
      <c r="D37" s="11" t="s">
        <v>356</v>
      </c>
      <c r="E37" s="11">
        <v>3.6743694488853755</v>
      </c>
    </row>
    <row r="38" spans="1:5" ht="24.75">
      <c r="A38" s="11" t="s">
        <v>237</v>
      </c>
      <c r="B38" s="11" t="s">
        <v>133</v>
      </c>
      <c r="C38" s="11" t="s">
        <v>150</v>
      </c>
      <c r="D38" s="11" t="s">
        <v>357</v>
      </c>
      <c r="E38" s="11">
        <v>7.9412453551879008</v>
      </c>
    </row>
    <row r="39" spans="1:5" ht="24.75">
      <c r="A39" s="11" t="s">
        <v>237</v>
      </c>
      <c r="B39" s="11" t="s">
        <v>133</v>
      </c>
      <c r="C39" s="11" t="s">
        <v>150</v>
      </c>
      <c r="D39" s="11" t="s">
        <v>358</v>
      </c>
      <c r="E39" s="11">
        <v>4.8662713376146112</v>
      </c>
    </row>
    <row r="40" spans="1:5" ht="24.75">
      <c r="A40" s="11" t="s">
        <v>237</v>
      </c>
      <c r="B40" s="11" t="s">
        <v>133</v>
      </c>
      <c r="C40" s="11" t="s">
        <v>150</v>
      </c>
      <c r="D40" s="11" t="s">
        <v>359</v>
      </c>
      <c r="E40" s="11">
        <v>5.2131623607213697</v>
      </c>
    </row>
    <row r="41" spans="1:5" ht="24.75">
      <c r="A41" s="11" t="s">
        <v>237</v>
      </c>
      <c r="B41" s="11" t="s">
        <v>133</v>
      </c>
      <c r="C41" s="11" t="s">
        <v>150</v>
      </c>
      <c r="D41" s="11" t="s">
        <v>360</v>
      </c>
      <c r="E41" s="11">
        <v>0.34000000000000014</v>
      </c>
    </row>
    <row r="42" spans="1:5" ht="24.75">
      <c r="A42" s="11" t="s">
        <v>237</v>
      </c>
      <c r="B42" s="11" t="s">
        <v>133</v>
      </c>
      <c r="C42" s="11" t="s">
        <v>150</v>
      </c>
      <c r="D42" s="11" t="s">
        <v>361</v>
      </c>
      <c r="E42" s="11">
        <v>0.17184504688401847</v>
      </c>
    </row>
    <row r="43" spans="1:5" ht="24.75">
      <c r="A43" s="11" t="s">
        <v>237</v>
      </c>
      <c r="B43" s="11" t="s">
        <v>133</v>
      </c>
      <c r="C43" s="11" t="s">
        <v>150</v>
      </c>
      <c r="D43" s="11" t="s">
        <v>362</v>
      </c>
      <c r="E43" s="11">
        <v>0.35950000000000165</v>
      </c>
    </row>
    <row r="44" spans="1:5" ht="24.75">
      <c r="A44" s="11" t="s">
        <v>237</v>
      </c>
      <c r="B44" s="11" t="s">
        <v>133</v>
      </c>
      <c r="C44" s="11" t="s">
        <v>150</v>
      </c>
      <c r="D44" s="11" t="s">
        <v>363</v>
      </c>
      <c r="E44" s="11">
        <v>0.39802688247932588</v>
      </c>
    </row>
    <row r="45" spans="1:5" ht="24.75">
      <c r="A45" s="11" t="s">
        <v>237</v>
      </c>
      <c r="B45" s="11" t="s">
        <v>133</v>
      </c>
      <c r="C45" s="11" t="s">
        <v>150</v>
      </c>
      <c r="D45" s="11" t="s">
        <v>364</v>
      </c>
      <c r="E45" s="11">
        <v>0.45503785892512399</v>
      </c>
    </row>
    <row r="46" spans="1:5" ht="24.75">
      <c r="A46" s="11" t="s">
        <v>237</v>
      </c>
      <c r="B46" s="11" t="s">
        <v>133</v>
      </c>
      <c r="C46" s="11" t="s">
        <v>150</v>
      </c>
      <c r="D46" s="11" t="s">
        <v>365</v>
      </c>
      <c r="E46" s="11">
        <v>7.8637936951475496</v>
      </c>
    </row>
    <row r="47" spans="1:5" ht="24.75">
      <c r="A47" s="11" t="s">
        <v>237</v>
      </c>
      <c r="B47" s="11" t="s">
        <v>133</v>
      </c>
      <c r="C47" s="11" t="s">
        <v>150</v>
      </c>
      <c r="D47" s="11" t="s">
        <v>366</v>
      </c>
      <c r="E47" s="11">
        <v>0.12254833995961879</v>
      </c>
    </row>
    <row r="48" spans="1:5" ht="24.75">
      <c r="A48" s="11" t="s">
        <v>237</v>
      </c>
      <c r="B48" s="11" t="s">
        <v>133</v>
      </c>
      <c r="C48" s="11" t="s">
        <v>150</v>
      </c>
      <c r="D48" s="11" t="s">
        <v>367</v>
      </c>
      <c r="E48" s="11">
        <v>9.4608065917123813E-2</v>
      </c>
    </row>
    <row r="49" spans="1:5">
      <c r="A49" s="1" t="s">
        <v>126</v>
      </c>
      <c r="B49" s="1" t="s">
        <v>126</v>
      </c>
      <c r="C49" s="1">
        <f>SUBTOTAL(103,Elements13831[Elemento])</f>
        <v>42</v>
      </c>
      <c r="D49" s="1" t="s">
        <v>126</v>
      </c>
      <c r="E49" s="1">
        <f>SUBTOTAL(109,Elements13831[Totais:])</f>
        <v>86.665242275648779</v>
      </c>
    </row>
  </sheetData>
  <mergeCells count="3">
    <mergeCell ref="A1:E2"/>
    <mergeCell ref="A4:E4"/>
    <mergeCell ref="A5:E5"/>
  </mergeCells>
  <hyperlinks>
    <hyperlink ref="A1" location="'13.8.3'!A1" display="PERFILADO PERFURADO 38x38x6000mm CHAPA 22" xr:uid="{00000000-0004-0000-1F00-000000000000}"/>
    <hyperlink ref="B1" location="'13.8.3'!A1" display="PERFILADO PERFURADO 38x38x6000mm CHAPA 22" xr:uid="{00000000-0004-0000-1F00-000001000000}"/>
    <hyperlink ref="C1" location="'13.8.3'!A1" display="PERFILADO PERFURADO 38x38x6000mm CHAPA 22" xr:uid="{00000000-0004-0000-1F00-000002000000}"/>
    <hyperlink ref="D1" location="'13.8.3'!A1" display="PERFILADO PERFURADO 38x38x6000mm CHAPA 22" xr:uid="{00000000-0004-0000-1F00-000003000000}"/>
    <hyperlink ref="E1" location="'13.8.3'!A1" display="PERFILADO PERFURADO 38x38x6000mm CHAPA 22" xr:uid="{00000000-0004-0000-1F00-000004000000}"/>
    <hyperlink ref="A2" location="'13.8.3'!A1" display="PERFILADO PERFURADO 38x38x6000mm CHAPA 22" xr:uid="{00000000-0004-0000-1F00-000005000000}"/>
    <hyperlink ref="B2" location="'13.8.3'!A1" display="PERFILADO PERFURADO 38x38x6000mm CHAPA 22" xr:uid="{00000000-0004-0000-1F00-000006000000}"/>
    <hyperlink ref="C2" location="'13.8.3'!A1" display="PERFILADO PERFURADO 38x38x6000mm CHAPA 22" xr:uid="{00000000-0004-0000-1F00-000007000000}"/>
    <hyperlink ref="D2" location="'13.8.3'!A1" display="PERFILADO PERFURADO 38x38x6000mm CHAPA 22" xr:uid="{00000000-0004-0000-1F00-000008000000}"/>
    <hyperlink ref="E2" location="'13.8.3'!A1" display="PERFILADO PERFURADO 38x38x6000mm CHAPA 22" xr:uid="{00000000-0004-0000-1F00-000009000000}"/>
    <hyperlink ref="A4" location="'13.8.3'!A1" display="Bandejas de cabos (Comprimento)" xr:uid="{00000000-0004-0000-1F00-00000A000000}"/>
    <hyperlink ref="B4" location="'13.8.3'!A1" display="Bandejas de cabos (Comprimento)" xr:uid="{00000000-0004-0000-1F00-00000B000000}"/>
    <hyperlink ref="C4" location="'13.8.3'!A1" display="Bandejas de cabos (Comprimento)" xr:uid="{00000000-0004-0000-1F00-00000C000000}"/>
    <hyperlink ref="D4" location="'13.8.3'!A1" display="Bandejas de cabos (Comprimento)" xr:uid="{00000000-0004-0000-1F00-00000D000000}"/>
    <hyperlink ref="E4" location="'13.8.3'!A1" display="Bandejas de cabos (Comprimento)" xr:uid="{00000000-0004-0000-1F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E54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28</v>
      </c>
      <c r="B1" s="23" t="s">
        <v>28</v>
      </c>
      <c r="C1" s="23" t="s">
        <v>28</v>
      </c>
      <c r="D1" s="23" t="s">
        <v>28</v>
      </c>
      <c r="E1" s="23" t="s">
        <v>28</v>
      </c>
    </row>
    <row r="2" spans="1:5">
      <c r="A2" s="23" t="s">
        <v>28</v>
      </c>
      <c r="B2" s="23" t="s">
        <v>28</v>
      </c>
      <c r="C2" s="23" t="s">
        <v>28</v>
      </c>
      <c r="D2" s="23" t="s">
        <v>28</v>
      </c>
      <c r="E2" s="23" t="s">
        <v>28</v>
      </c>
    </row>
    <row r="4" spans="1:5">
      <c r="A4" s="18" t="s">
        <v>152</v>
      </c>
      <c r="B4" s="18" t="s">
        <v>152</v>
      </c>
      <c r="C4" s="18" t="s">
        <v>152</v>
      </c>
      <c r="D4" s="18" t="s">
        <v>152</v>
      </c>
      <c r="E4" s="18" t="s">
        <v>152</v>
      </c>
    </row>
    <row r="5" spans="1:5">
      <c r="A5" s="24" t="s">
        <v>153</v>
      </c>
      <c r="B5" s="24" t="s">
        <v>153</v>
      </c>
      <c r="C5" s="24" t="s">
        <v>153</v>
      </c>
      <c r="D5" s="24" t="s">
        <v>153</v>
      </c>
      <c r="E5" s="24" t="s">
        <v>153</v>
      </c>
    </row>
    <row r="6" spans="1:5">
      <c r="A6" s="10" t="s">
        <v>232</v>
      </c>
      <c r="B6" s="10" t="s">
        <v>233</v>
      </c>
      <c r="C6" s="10" t="s">
        <v>234</v>
      </c>
      <c r="D6" s="10" t="s">
        <v>235</v>
      </c>
      <c r="E6" s="10" t="s">
        <v>236</v>
      </c>
    </row>
    <row r="7" spans="1:5" ht="24.75">
      <c r="A7" s="11" t="s">
        <v>237</v>
      </c>
      <c r="B7" s="11" t="s">
        <v>133</v>
      </c>
      <c r="C7" s="11" t="s">
        <v>155</v>
      </c>
      <c r="D7" s="11" t="s">
        <v>368</v>
      </c>
      <c r="E7" s="11">
        <v>6.6949130635875775</v>
      </c>
    </row>
    <row r="8" spans="1:5" ht="24.75">
      <c r="A8" s="11" t="s">
        <v>237</v>
      </c>
      <c r="B8" s="11" t="s">
        <v>133</v>
      </c>
      <c r="C8" s="11" t="s">
        <v>155</v>
      </c>
      <c r="D8" s="11" t="s">
        <v>369</v>
      </c>
      <c r="E8" s="11">
        <v>3.2927149753086171</v>
      </c>
    </row>
    <row r="9" spans="1:5" ht="24.75">
      <c r="A9" s="11" t="s">
        <v>237</v>
      </c>
      <c r="B9" s="11" t="s">
        <v>133</v>
      </c>
      <c r="C9" s="11" t="s">
        <v>155</v>
      </c>
      <c r="D9" s="11" t="s">
        <v>370</v>
      </c>
      <c r="E9" s="11">
        <v>5.8605464346958813</v>
      </c>
    </row>
    <row r="10" spans="1:5" ht="24.75">
      <c r="A10" s="11" t="s">
        <v>237</v>
      </c>
      <c r="B10" s="11" t="s">
        <v>133</v>
      </c>
      <c r="C10" s="11" t="s">
        <v>155</v>
      </c>
      <c r="D10" s="11" t="s">
        <v>371</v>
      </c>
      <c r="E10" s="11">
        <v>3.2992149753185269</v>
      </c>
    </row>
    <row r="11" spans="1:5" ht="24.75">
      <c r="A11" s="11" t="s">
        <v>237</v>
      </c>
      <c r="B11" s="11" t="s">
        <v>133</v>
      </c>
      <c r="C11" s="11" t="s">
        <v>155</v>
      </c>
      <c r="D11" s="11" t="s">
        <v>372</v>
      </c>
      <c r="E11" s="11">
        <v>2.3939500036387744</v>
      </c>
    </row>
    <row r="12" spans="1:5" ht="24.75">
      <c r="A12" s="11" t="s">
        <v>237</v>
      </c>
      <c r="B12" s="11" t="s">
        <v>133</v>
      </c>
      <c r="C12" s="11" t="s">
        <v>155</v>
      </c>
      <c r="D12" s="11" t="s">
        <v>373</v>
      </c>
      <c r="E12" s="11">
        <v>3.4251337764001835</v>
      </c>
    </row>
    <row r="13" spans="1:5" ht="24.75">
      <c r="A13" s="11" t="s">
        <v>237</v>
      </c>
      <c r="B13" s="11" t="s">
        <v>133</v>
      </c>
      <c r="C13" s="11" t="s">
        <v>155</v>
      </c>
      <c r="D13" s="11" t="s">
        <v>374</v>
      </c>
      <c r="E13" s="11">
        <v>3.357844975407605</v>
      </c>
    </row>
    <row r="14" spans="1:5" ht="24.75">
      <c r="A14" s="11" t="s">
        <v>237</v>
      </c>
      <c r="B14" s="11" t="s">
        <v>133</v>
      </c>
      <c r="C14" s="11" t="s">
        <v>155</v>
      </c>
      <c r="D14" s="11" t="s">
        <v>375</v>
      </c>
      <c r="E14" s="11">
        <v>5.6590555975755548</v>
      </c>
    </row>
    <row r="15" spans="1:5" ht="24.75">
      <c r="A15" s="11" t="s">
        <v>237</v>
      </c>
      <c r="B15" s="11" t="s">
        <v>133</v>
      </c>
      <c r="C15" s="11" t="s">
        <v>155</v>
      </c>
      <c r="D15" s="11" t="s">
        <v>376</v>
      </c>
      <c r="E15" s="11">
        <v>3.2927149753086371</v>
      </c>
    </row>
    <row r="16" spans="1:5" ht="24.75">
      <c r="A16" s="11" t="s">
        <v>237</v>
      </c>
      <c r="B16" s="11" t="s">
        <v>133</v>
      </c>
      <c r="C16" s="11" t="s">
        <v>155</v>
      </c>
      <c r="D16" s="11" t="s">
        <v>377</v>
      </c>
      <c r="E16" s="11">
        <v>3.4163449754965343</v>
      </c>
    </row>
    <row r="17" spans="1:5" ht="24.75">
      <c r="A17" s="11" t="s">
        <v>237</v>
      </c>
      <c r="B17" s="11" t="s">
        <v>133</v>
      </c>
      <c r="C17" s="11" t="s">
        <v>155</v>
      </c>
      <c r="D17" s="11" t="s">
        <v>378</v>
      </c>
      <c r="E17" s="11">
        <v>2.3939500036387744</v>
      </c>
    </row>
    <row r="18" spans="1:5" ht="24.75">
      <c r="A18" s="11" t="s">
        <v>237</v>
      </c>
      <c r="B18" s="11" t="s">
        <v>133</v>
      </c>
      <c r="C18" s="11" t="s">
        <v>155</v>
      </c>
      <c r="D18" s="11" t="s">
        <v>379</v>
      </c>
      <c r="E18" s="11">
        <v>6.7054779891690171</v>
      </c>
    </row>
    <row r="19" spans="1:5" ht="24.75">
      <c r="A19" s="11" t="s">
        <v>237</v>
      </c>
      <c r="B19" s="11" t="s">
        <v>133</v>
      </c>
      <c r="C19" s="11" t="s">
        <v>155</v>
      </c>
      <c r="D19" s="11" t="s">
        <v>380</v>
      </c>
      <c r="E19" s="11">
        <v>6.4778585862391358</v>
      </c>
    </row>
    <row r="20" spans="1:5" ht="24.75">
      <c r="A20" s="11" t="s">
        <v>237</v>
      </c>
      <c r="B20" s="11" t="s">
        <v>133</v>
      </c>
      <c r="C20" s="11" t="s">
        <v>155</v>
      </c>
      <c r="D20" s="11" t="s">
        <v>381</v>
      </c>
      <c r="E20" s="11">
        <v>0.13797504291696008</v>
      </c>
    </row>
    <row r="21" spans="1:5" ht="24.75">
      <c r="A21" s="11" t="s">
        <v>237</v>
      </c>
      <c r="B21" s="11" t="s">
        <v>133</v>
      </c>
      <c r="C21" s="11" t="s">
        <v>155</v>
      </c>
      <c r="D21" s="11" t="s">
        <v>382</v>
      </c>
      <c r="E21" s="11">
        <v>0.18226000027684519</v>
      </c>
    </row>
    <row r="22" spans="1:5" ht="24.75">
      <c r="A22" s="11" t="s">
        <v>237</v>
      </c>
      <c r="B22" s="11" t="s">
        <v>133</v>
      </c>
      <c r="C22" s="11" t="s">
        <v>155</v>
      </c>
      <c r="D22" s="11" t="s">
        <v>383</v>
      </c>
      <c r="E22" s="11">
        <v>3.2924555581986423</v>
      </c>
    </row>
    <row r="23" spans="1:5" ht="24.75">
      <c r="A23" s="11" t="s">
        <v>237</v>
      </c>
      <c r="B23" s="11" t="s">
        <v>133</v>
      </c>
      <c r="C23" s="11" t="s">
        <v>155</v>
      </c>
      <c r="D23" s="11" t="s">
        <v>384</v>
      </c>
      <c r="E23" s="11">
        <v>5.2260000079205407E-2</v>
      </c>
    </row>
    <row r="24" spans="1:5" ht="24.75">
      <c r="A24" s="11" t="s">
        <v>237</v>
      </c>
      <c r="B24" s="11" t="s">
        <v>133</v>
      </c>
      <c r="C24" s="11" t="s">
        <v>155</v>
      </c>
      <c r="D24" s="11" t="s">
        <v>385</v>
      </c>
      <c r="E24" s="11">
        <v>4.8086521782752714</v>
      </c>
    </row>
    <row r="25" spans="1:5" ht="24.75">
      <c r="A25" s="11" t="s">
        <v>237</v>
      </c>
      <c r="B25" s="11" t="s">
        <v>133</v>
      </c>
      <c r="C25" s="11" t="s">
        <v>155</v>
      </c>
      <c r="D25" s="11" t="s">
        <v>386</v>
      </c>
      <c r="E25" s="11">
        <v>4.3533756938015413</v>
      </c>
    </row>
    <row r="26" spans="1:5" ht="24.75">
      <c r="A26" s="11" t="s">
        <v>237</v>
      </c>
      <c r="B26" s="11" t="s">
        <v>133</v>
      </c>
      <c r="C26" s="11" t="s">
        <v>155</v>
      </c>
      <c r="D26" s="11" t="s">
        <v>387</v>
      </c>
      <c r="E26" s="11">
        <v>3.2483849752412359</v>
      </c>
    </row>
    <row r="27" spans="1:5" ht="24.75">
      <c r="A27" s="11" t="s">
        <v>237</v>
      </c>
      <c r="B27" s="11" t="s">
        <v>133</v>
      </c>
      <c r="C27" s="11" t="s">
        <v>155</v>
      </c>
      <c r="D27" s="11" t="s">
        <v>388</v>
      </c>
      <c r="E27" s="11">
        <v>6.1801397667143938</v>
      </c>
    </row>
    <row r="28" spans="1:5" ht="24.75">
      <c r="A28" s="11" t="s">
        <v>237</v>
      </c>
      <c r="B28" s="11" t="s">
        <v>133</v>
      </c>
      <c r="C28" s="11" t="s">
        <v>155</v>
      </c>
      <c r="D28" s="11" t="s">
        <v>389</v>
      </c>
      <c r="E28" s="11">
        <v>7.9750427193543763E-3</v>
      </c>
    </row>
    <row r="29" spans="1:5" ht="24.75">
      <c r="A29" s="11" t="s">
        <v>237</v>
      </c>
      <c r="B29" s="11" t="s">
        <v>133</v>
      </c>
      <c r="C29" s="11" t="s">
        <v>155</v>
      </c>
      <c r="D29" s="11" t="s">
        <v>390</v>
      </c>
      <c r="E29" s="11">
        <v>4.926129701731238</v>
      </c>
    </row>
    <row r="30" spans="1:5" ht="24.75">
      <c r="A30" s="11" t="s">
        <v>237</v>
      </c>
      <c r="B30" s="11" t="s">
        <v>133</v>
      </c>
      <c r="C30" s="11" t="s">
        <v>155</v>
      </c>
      <c r="D30" s="11" t="s">
        <v>391</v>
      </c>
      <c r="E30" s="11">
        <v>2.8919221180280319</v>
      </c>
    </row>
    <row r="31" spans="1:5" ht="24.75">
      <c r="A31" s="11" t="s">
        <v>237</v>
      </c>
      <c r="B31" s="11" t="s">
        <v>133</v>
      </c>
      <c r="C31" s="11" t="s">
        <v>155</v>
      </c>
      <c r="D31" s="11" t="s">
        <v>392</v>
      </c>
      <c r="E31" s="11">
        <v>0.12198504289264028</v>
      </c>
    </row>
    <row r="32" spans="1:5" ht="24.75">
      <c r="A32" s="11" t="s">
        <v>237</v>
      </c>
      <c r="B32" s="11" t="s">
        <v>133</v>
      </c>
      <c r="C32" s="11" t="s">
        <v>155</v>
      </c>
      <c r="D32" s="11" t="s">
        <v>393</v>
      </c>
      <c r="E32" s="11">
        <v>3.3623949754145306</v>
      </c>
    </row>
    <row r="33" spans="1:5" ht="24.75">
      <c r="A33" s="11" t="s">
        <v>237</v>
      </c>
      <c r="B33" s="11" t="s">
        <v>133</v>
      </c>
      <c r="C33" s="11" t="s">
        <v>155</v>
      </c>
      <c r="D33" s="11" t="s">
        <v>394</v>
      </c>
      <c r="E33" s="11">
        <v>0.96594813536153423</v>
      </c>
    </row>
    <row r="34" spans="1:5" ht="24.75">
      <c r="A34" s="11" t="s">
        <v>237</v>
      </c>
      <c r="B34" s="11" t="s">
        <v>133</v>
      </c>
      <c r="C34" s="11" t="s">
        <v>155</v>
      </c>
      <c r="D34" s="11" t="s">
        <v>395</v>
      </c>
      <c r="E34" s="11">
        <v>5.2305042786736672E-2</v>
      </c>
    </row>
    <row r="35" spans="1:5" ht="24.75">
      <c r="A35" s="11" t="s">
        <v>237</v>
      </c>
      <c r="B35" s="11" t="s">
        <v>133</v>
      </c>
      <c r="C35" s="11" t="s">
        <v>155</v>
      </c>
      <c r="D35" s="11" t="s">
        <v>396</v>
      </c>
      <c r="E35" s="11">
        <v>4.704652178117172</v>
      </c>
    </row>
    <row r="36" spans="1:5" ht="24.75">
      <c r="A36" s="11" t="s">
        <v>237</v>
      </c>
      <c r="B36" s="11" t="s">
        <v>133</v>
      </c>
      <c r="C36" s="11" t="s">
        <v>155</v>
      </c>
      <c r="D36" s="11" t="s">
        <v>397</v>
      </c>
      <c r="E36" s="11">
        <v>4.119375693445841</v>
      </c>
    </row>
    <row r="37" spans="1:5" ht="24.75">
      <c r="A37" s="11" t="s">
        <v>237</v>
      </c>
      <c r="B37" s="11" t="s">
        <v>133</v>
      </c>
      <c r="C37" s="11" t="s">
        <v>155</v>
      </c>
      <c r="D37" s="11" t="s">
        <v>398</v>
      </c>
      <c r="E37" s="11">
        <v>2.3939500036387744</v>
      </c>
    </row>
    <row r="38" spans="1:5" ht="24.75">
      <c r="A38" s="11" t="s">
        <v>237</v>
      </c>
      <c r="B38" s="11" t="s">
        <v>133</v>
      </c>
      <c r="C38" s="11" t="s">
        <v>155</v>
      </c>
      <c r="D38" s="11" t="s">
        <v>399</v>
      </c>
      <c r="E38" s="11">
        <v>3.2927149753086074</v>
      </c>
    </row>
    <row r="39" spans="1:5" ht="24.75">
      <c r="A39" s="11" t="s">
        <v>237</v>
      </c>
      <c r="B39" s="11" t="s">
        <v>133</v>
      </c>
      <c r="C39" s="11" t="s">
        <v>155</v>
      </c>
      <c r="D39" s="11" t="s">
        <v>400</v>
      </c>
      <c r="E39" s="11">
        <v>3.4223255632685747</v>
      </c>
    </row>
    <row r="40" spans="1:5" ht="24.75">
      <c r="A40" s="11" t="s">
        <v>237</v>
      </c>
      <c r="B40" s="11" t="s">
        <v>133</v>
      </c>
      <c r="C40" s="11" t="s">
        <v>155</v>
      </c>
      <c r="D40" s="11" t="s">
        <v>401</v>
      </c>
      <c r="E40" s="11">
        <v>0.17593504297464327</v>
      </c>
    </row>
    <row r="41" spans="1:5" ht="24.75">
      <c r="A41" s="11" t="s">
        <v>237</v>
      </c>
      <c r="B41" s="11" t="s">
        <v>133</v>
      </c>
      <c r="C41" s="11" t="s">
        <v>155</v>
      </c>
      <c r="D41" s="11" t="s">
        <v>402</v>
      </c>
      <c r="E41" s="11">
        <v>6.7939686796838634</v>
      </c>
    </row>
    <row r="42" spans="1:5" ht="24.75">
      <c r="A42" s="11" t="s">
        <v>237</v>
      </c>
      <c r="B42" s="11" t="s">
        <v>133</v>
      </c>
      <c r="C42" s="11" t="s">
        <v>155</v>
      </c>
      <c r="D42" s="11" t="s">
        <v>403</v>
      </c>
      <c r="E42" s="11">
        <v>5.2305042786736269E-2</v>
      </c>
    </row>
    <row r="43" spans="1:5" ht="24.75">
      <c r="A43" s="11" t="s">
        <v>237</v>
      </c>
      <c r="B43" s="11" t="s">
        <v>133</v>
      </c>
      <c r="C43" s="11" t="s">
        <v>155</v>
      </c>
      <c r="D43" s="11" t="s">
        <v>404</v>
      </c>
      <c r="E43" s="11">
        <v>2.4143684361595001</v>
      </c>
    </row>
    <row r="44" spans="1:5" ht="24.75">
      <c r="A44" s="11" t="s">
        <v>237</v>
      </c>
      <c r="B44" s="11" t="s">
        <v>133</v>
      </c>
      <c r="C44" s="11" t="s">
        <v>155</v>
      </c>
      <c r="D44" s="11" t="s">
        <v>405</v>
      </c>
      <c r="E44" s="11">
        <v>5.8805042796631866E-2</v>
      </c>
    </row>
    <row r="45" spans="1:5" ht="24.75">
      <c r="A45" s="11" t="s">
        <v>237</v>
      </c>
      <c r="B45" s="11" t="s">
        <v>133</v>
      </c>
      <c r="C45" s="11" t="s">
        <v>155</v>
      </c>
      <c r="D45" s="11" t="s">
        <v>406</v>
      </c>
      <c r="E45" s="11">
        <v>5.2305042786734472E-2</v>
      </c>
    </row>
    <row r="46" spans="1:5" ht="24.75">
      <c r="A46" s="11" t="s">
        <v>237</v>
      </c>
      <c r="B46" s="11" t="s">
        <v>133</v>
      </c>
      <c r="C46" s="11" t="s">
        <v>155</v>
      </c>
      <c r="D46" s="11" t="s">
        <v>407</v>
      </c>
      <c r="E46" s="11">
        <v>3.7636407680460744</v>
      </c>
    </row>
    <row r="47" spans="1:5" ht="24.75">
      <c r="A47" s="11" t="s">
        <v>237</v>
      </c>
      <c r="B47" s="11" t="s">
        <v>133</v>
      </c>
      <c r="C47" s="11" t="s">
        <v>155</v>
      </c>
      <c r="D47" s="11" t="s">
        <v>408</v>
      </c>
      <c r="E47" s="11">
        <v>5.0467204326591055</v>
      </c>
    </row>
    <row r="48" spans="1:5" ht="24.75">
      <c r="A48" s="11" t="s">
        <v>237</v>
      </c>
      <c r="B48" s="11" t="s">
        <v>133</v>
      </c>
      <c r="C48" s="11" t="s">
        <v>155</v>
      </c>
      <c r="D48" s="11" t="s">
        <v>409</v>
      </c>
      <c r="E48" s="11">
        <v>0.18217504298412507</v>
      </c>
    </row>
    <row r="49" spans="1:5" ht="24.75">
      <c r="A49" s="11" t="s">
        <v>237</v>
      </c>
      <c r="B49" s="11" t="s">
        <v>133</v>
      </c>
      <c r="C49" s="11" t="s">
        <v>155</v>
      </c>
      <c r="D49" s="11" t="s">
        <v>410</v>
      </c>
      <c r="E49" s="11">
        <v>5.2305042786735673E-2</v>
      </c>
    </row>
    <row r="50" spans="1:5" ht="24.75">
      <c r="A50" s="11" t="s">
        <v>237</v>
      </c>
      <c r="B50" s="11" t="s">
        <v>133</v>
      </c>
      <c r="C50" s="11" t="s">
        <v>155</v>
      </c>
      <c r="D50" s="11" t="s">
        <v>411</v>
      </c>
      <c r="E50" s="11">
        <v>3.2927149753086171</v>
      </c>
    </row>
    <row r="51" spans="1:5" ht="24.75">
      <c r="A51" s="11" t="s">
        <v>237</v>
      </c>
      <c r="B51" s="11" t="s">
        <v>133</v>
      </c>
      <c r="C51" s="11" t="s">
        <v>155</v>
      </c>
      <c r="D51" s="11" t="s">
        <v>412</v>
      </c>
      <c r="E51" s="11">
        <v>3.2926699326010889</v>
      </c>
    </row>
    <row r="52" spans="1:5" ht="24.75">
      <c r="A52" s="11" t="s">
        <v>237</v>
      </c>
      <c r="B52" s="11" t="s">
        <v>133</v>
      </c>
      <c r="C52" s="11" t="s">
        <v>155</v>
      </c>
      <c r="D52" s="11" t="s">
        <v>413</v>
      </c>
      <c r="E52" s="11">
        <v>3.2483849752412359</v>
      </c>
    </row>
    <row r="53" spans="1:5" ht="24.75">
      <c r="A53" s="11" t="s">
        <v>237</v>
      </c>
      <c r="B53" s="11" t="s">
        <v>133</v>
      </c>
      <c r="C53" s="11" t="s">
        <v>155</v>
      </c>
      <c r="D53" s="11" t="s">
        <v>414</v>
      </c>
      <c r="E53" s="11">
        <v>4.8596313416478099</v>
      </c>
    </row>
    <row r="54" spans="1:5">
      <c r="A54" s="1" t="s">
        <v>126</v>
      </c>
      <c r="B54" s="1" t="s">
        <v>126</v>
      </c>
      <c r="C54" s="1">
        <f>SUBTOTAL(103,Elements13841[Elemento])</f>
        <v>47</v>
      </c>
      <c r="D54" s="1" t="s">
        <v>126</v>
      </c>
      <c r="E54" s="1">
        <f>SUBTOTAL(109,Elements13841[Totais:])</f>
        <v>142.07283181846486</v>
      </c>
    </row>
  </sheetData>
  <mergeCells count="3">
    <mergeCell ref="A1:E2"/>
    <mergeCell ref="A4:E4"/>
    <mergeCell ref="A5:E5"/>
  </mergeCells>
  <hyperlinks>
    <hyperlink ref="A1" location="'13.8.4'!A1" display="ELETRODUTO DE PVC RIGIDO ROSQUEAVEL DE 3/4”,INCLUSIVE CONEXO ES E EMENDAS,EXCLUSIVE ABERTURA E FECHAMENTO DE RASGO.FORNEC IMENTO E ASSENTAMENTO" xr:uid="{00000000-0004-0000-2000-000000000000}"/>
    <hyperlink ref="B1" location="'13.8.4'!A1" display="ELETRODUTO DE PVC RIGIDO ROSQUEAVEL DE 3/4”,INCLUSIVE CONEXO ES E EMENDAS,EXCLUSIVE ABERTURA E FECHAMENTO DE RASGO.FORNEC IMENTO E ASSENTAMENTO" xr:uid="{00000000-0004-0000-2000-000001000000}"/>
    <hyperlink ref="C1" location="'13.8.4'!A1" display="ELETRODUTO DE PVC RIGIDO ROSQUEAVEL DE 3/4”,INCLUSIVE CONEXO ES E EMENDAS,EXCLUSIVE ABERTURA E FECHAMENTO DE RASGO.FORNEC IMENTO E ASSENTAMENTO" xr:uid="{00000000-0004-0000-2000-000002000000}"/>
    <hyperlink ref="D1" location="'13.8.4'!A1" display="ELETRODUTO DE PVC RIGIDO ROSQUEAVEL DE 3/4”,INCLUSIVE CONEXO ES E EMENDAS,EXCLUSIVE ABERTURA E FECHAMENTO DE RASGO.FORNEC IMENTO E ASSENTAMENTO" xr:uid="{00000000-0004-0000-2000-000003000000}"/>
    <hyperlink ref="E1" location="'13.8.4'!A1" display="ELETRODUTO DE PVC RIGIDO ROSQUEAVEL DE 3/4”,INCLUSIVE CONEXO ES E EMENDAS,EXCLUSIVE ABERTURA E FECHAMENTO DE RASGO.FORNEC IMENTO E ASSENTAMENTO" xr:uid="{00000000-0004-0000-2000-000004000000}"/>
    <hyperlink ref="A2" location="'13.8.4'!A1" display="ELETRODUTO DE PVC RIGIDO ROSQUEAVEL DE 3/4”,INCLUSIVE CONEXO ES E EMENDAS,EXCLUSIVE ABERTURA E FECHAMENTO DE RASGO.FORNEC IMENTO E ASSENTAMENTO" xr:uid="{00000000-0004-0000-2000-000005000000}"/>
    <hyperlink ref="B2" location="'13.8.4'!A1" display="ELETRODUTO DE PVC RIGIDO ROSQUEAVEL DE 3/4”,INCLUSIVE CONEXO ES E EMENDAS,EXCLUSIVE ABERTURA E FECHAMENTO DE RASGO.FORNEC IMENTO E ASSENTAMENTO" xr:uid="{00000000-0004-0000-2000-000006000000}"/>
    <hyperlink ref="C2" location="'13.8.4'!A1" display="ELETRODUTO DE PVC RIGIDO ROSQUEAVEL DE 3/4”,INCLUSIVE CONEXO ES E EMENDAS,EXCLUSIVE ABERTURA E FECHAMENTO DE RASGO.FORNEC IMENTO E ASSENTAMENTO" xr:uid="{00000000-0004-0000-2000-000007000000}"/>
    <hyperlink ref="D2" location="'13.8.4'!A1" display="ELETRODUTO DE PVC RIGIDO ROSQUEAVEL DE 3/4”,INCLUSIVE CONEXO ES E EMENDAS,EXCLUSIVE ABERTURA E FECHAMENTO DE RASGO.FORNEC IMENTO E ASSENTAMENTO" xr:uid="{00000000-0004-0000-2000-000008000000}"/>
    <hyperlink ref="E2" location="'13.8.4'!A1" display="ELETRODUTO DE PVC RIGIDO ROSQUEAVEL DE 3/4”,INCLUSIVE CONEXO ES E EMENDAS,EXCLUSIVE ABERTURA E FECHAMENTO DE RASGO.FORNEC IMENTO E ASSENTAMENTO" xr:uid="{00000000-0004-0000-2000-000009000000}"/>
    <hyperlink ref="A4" location="'13.8.4'!A1" display="Conduites" xr:uid="{00000000-0004-0000-2000-00000A000000}"/>
    <hyperlink ref="B4" location="'13.8.4'!A1" display="Conduites" xr:uid="{00000000-0004-0000-2000-00000B000000}"/>
    <hyperlink ref="C4" location="'13.8.4'!A1" display="Conduites" xr:uid="{00000000-0004-0000-2000-00000C000000}"/>
    <hyperlink ref="D4" location="'13.8.4'!A1" display="Conduites" xr:uid="{00000000-0004-0000-2000-00000D000000}"/>
    <hyperlink ref="E4" location="'13.8.4'!A1" display="Conduites" xr:uid="{00000000-0004-0000-20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E10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33</v>
      </c>
      <c r="B1" s="23" t="s">
        <v>33</v>
      </c>
      <c r="C1" s="23" t="s">
        <v>33</v>
      </c>
      <c r="D1" s="23" t="s">
        <v>33</v>
      </c>
      <c r="E1" s="23" t="s">
        <v>33</v>
      </c>
    </row>
    <row r="2" spans="1:5">
      <c r="A2" s="23" t="s">
        <v>33</v>
      </c>
      <c r="B2" s="23" t="s">
        <v>33</v>
      </c>
      <c r="C2" s="23" t="s">
        <v>33</v>
      </c>
      <c r="D2" s="23" t="s">
        <v>33</v>
      </c>
      <c r="E2" s="23" t="s">
        <v>33</v>
      </c>
    </row>
    <row r="4" spans="1:5">
      <c r="A4" s="18" t="s">
        <v>157</v>
      </c>
      <c r="B4" s="18" t="s">
        <v>157</v>
      </c>
      <c r="C4" s="18" t="s">
        <v>157</v>
      </c>
      <c r="D4" s="18" t="s">
        <v>157</v>
      </c>
      <c r="E4" s="18" t="s">
        <v>157</v>
      </c>
    </row>
    <row r="5" spans="1:5">
      <c r="A5" s="24" t="s">
        <v>126</v>
      </c>
      <c r="B5" s="24" t="s">
        <v>126</v>
      </c>
      <c r="C5" s="24" t="s">
        <v>126</v>
      </c>
      <c r="D5" s="24" t="s">
        <v>126</v>
      </c>
      <c r="E5" s="24" t="s">
        <v>126</v>
      </c>
    </row>
    <row r="6" spans="1:5">
      <c r="A6" s="10" t="s">
        <v>232</v>
      </c>
      <c r="B6" s="10" t="s">
        <v>233</v>
      </c>
      <c r="C6" s="10" t="s">
        <v>234</v>
      </c>
      <c r="D6" s="10" t="s">
        <v>235</v>
      </c>
      <c r="E6" s="10" t="s">
        <v>236</v>
      </c>
    </row>
    <row r="7" spans="1:5" ht="24.75">
      <c r="A7" s="11" t="s">
        <v>237</v>
      </c>
      <c r="B7" s="11" t="s">
        <v>133</v>
      </c>
      <c r="C7" s="11" t="s">
        <v>160</v>
      </c>
      <c r="D7" s="11" t="s">
        <v>415</v>
      </c>
      <c r="E7" s="11">
        <v>0.13400000000000731</v>
      </c>
    </row>
    <row r="8" spans="1:5" ht="24.75">
      <c r="A8" s="11" t="s">
        <v>237</v>
      </c>
      <c r="B8" s="11" t="s">
        <v>133</v>
      </c>
      <c r="C8" s="11" t="s">
        <v>160</v>
      </c>
      <c r="D8" s="11" t="s">
        <v>416</v>
      </c>
      <c r="E8" s="11">
        <v>0.6176503139658841</v>
      </c>
    </row>
    <row r="9" spans="1:5" ht="24.75">
      <c r="A9" s="11" t="s">
        <v>237</v>
      </c>
      <c r="B9" s="11" t="s">
        <v>133</v>
      </c>
      <c r="C9" s="11" t="s">
        <v>160</v>
      </c>
      <c r="D9" s="11" t="s">
        <v>417</v>
      </c>
      <c r="E9" s="11">
        <v>2.4561558806393395</v>
      </c>
    </row>
    <row r="10" spans="1:5">
      <c r="A10" s="1" t="s">
        <v>126</v>
      </c>
      <c r="B10" s="1" t="s">
        <v>126</v>
      </c>
      <c r="C10" s="1">
        <f>SUBTOTAL(103,Elements13851[Elemento])</f>
        <v>3</v>
      </c>
      <c r="D10" s="1" t="s">
        <v>126</v>
      </c>
      <c r="E10" s="1">
        <f>SUBTOTAL(109,Elements13851[Totais:])</f>
        <v>3.2078061946052312</v>
      </c>
    </row>
  </sheetData>
  <mergeCells count="3">
    <mergeCell ref="A1:E2"/>
    <mergeCell ref="A4:E4"/>
    <mergeCell ref="A5:E5"/>
  </mergeCells>
  <hyperlinks>
    <hyperlink ref="A1" location="'13.8.5'!A1" display="ELETRODUTO FLEXIVEL, EM FITA DE ACO GALVANIZADO, REVESTIDO COM PVC PRETO, DIAMETRO EXTERNO DE 25 MM, DN = 3/4”, TIPO SEALTUBO" xr:uid="{00000000-0004-0000-2100-000000000000}"/>
    <hyperlink ref="B1" location="'13.8.5'!A1" display="ELETRODUTO FLEXIVEL, EM FITA DE ACO GALVANIZADO, REVESTIDO COM PVC PRETO, DIAMETRO EXTERNO DE 25 MM, DN = 3/4”, TIPO SEALTUBO" xr:uid="{00000000-0004-0000-2100-000001000000}"/>
    <hyperlink ref="C1" location="'13.8.5'!A1" display="ELETRODUTO FLEXIVEL, EM FITA DE ACO GALVANIZADO, REVESTIDO COM PVC PRETO, DIAMETRO EXTERNO DE 25 MM, DN = 3/4”, TIPO SEALTUBO" xr:uid="{00000000-0004-0000-2100-000002000000}"/>
    <hyperlink ref="D1" location="'13.8.5'!A1" display="ELETRODUTO FLEXIVEL, EM FITA DE ACO GALVANIZADO, REVESTIDO COM PVC PRETO, DIAMETRO EXTERNO DE 25 MM, DN = 3/4”, TIPO SEALTUBO" xr:uid="{00000000-0004-0000-2100-000003000000}"/>
    <hyperlink ref="E1" location="'13.8.5'!A1" display="ELETRODUTO FLEXIVEL, EM FITA DE ACO GALVANIZADO, REVESTIDO COM PVC PRETO, DIAMETRO EXTERNO DE 25 MM, DN = 3/4”, TIPO SEALTUBO" xr:uid="{00000000-0004-0000-2100-000004000000}"/>
    <hyperlink ref="A2" location="'13.8.5'!A1" display="ELETRODUTO FLEXIVEL, EM FITA DE ACO GALVANIZADO, REVESTIDO COM PVC PRETO, DIAMETRO EXTERNO DE 25 MM, DN = 3/4”, TIPO SEALTUBO" xr:uid="{00000000-0004-0000-2100-000005000000}"/>
    <hyperlink ref="B2" location="'13.8.5'!A1" display="ELETRODUTO FLEXIVEL, EM FITA DE ACO GALVANIZADO, REVESTIDO COM PVC PRETO, DIAMETRO EXTERNO DE 25 MM, DN = 3/4”, TIPO SEALTUBO" xr:uid="{00000000-0004-0000-2100-000006000000}"/>
    <hyperlink ref="C2" location="'13.8.5'!A1" display="ELETRODUTO FLEXIVEL, EM FITA DE ACO GALVANIZADO, REVESTIDO COM PVC PRETO, DIAMETRO EXTERNO DE 25 MM, DN = 3/4”, TIPO SEALTUBO" xr:uid="{00000000-0004-0000-2100-000007000000}"/>
    <hyperlink ref="D2" location="'13.8.5'!A1" display="ELETRODUTO FLEXIVEL, EM FITA DE ACO GALVANIZADO, REVESTIDO COM PVC PRETO, DIAMETRO EXTERNO DE 25 MM, DN = 3/4”, TIPO SEALTUBO" xr:uid="{00000000-0004-0000-2100-000008000000}"/>
    <hyperlink ref="E2" location="'13.8.5'!A1" display="ELETRODUTO FLEXIVEL, EM FITA DE ACO GALVANIZADO, REVESTIDO COM PVC PRETO, DIAMETRO EXTERNO DE 25 MM, DN = 3/4”, TIPO SEALTUBO" xr:uid="{00000000-0004-0000-2100-000009000000}"/>
    <hyperlink ref="A4" location="'13.8.5'!A1" display="Conduites (Comprimento)" xr:uid="{00000000-0004-0000-2100-00000A000000}"/>
    <hyperlink ref="B4" location="'13.8.5'!A1" display="Conduites (Comprimento)" xr:uid="{00000000-0004-0000-2100-00000B000000}"/>
    <hyperlink ref="C4" location="'13.8.5'!A1" display="Conduites (Comprimento)" xr:uid="{00000000-0004-0000-2100-00000C000000}"/>
    <hyperlink ref="D4" location="'13.8.5'!A1" display="Conduites (Comprimento)" xr:uid="{00000000-0004-0000-2100-00000D000000}"/>
    <hyperlink ref="E4" location="'13.8.5'!A1" display="Conduites (Comprimento)" xr:uid="{00000000-0004-0000-21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E48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37</v>
      </c>
      <c r="B1" s="23" t="s">
        <v>37</v>
      </c>
      <c r="C1" s="23" t="s">
        <v>37</v>
      </c>
      <c r="D1" s="23" t="s">
        <v>37</v>
      </c>
      <c r="E1" s="23" t="s">
        <v>37</v>
      </c>
    </row>
    <row r="2" spans="1:5">
      <c r="A2" s="23" t="s">
        <v>37</v>
      </c>
      <c r="B2" s="23" t="s">
        <v>37</v>
      </c>
      <c r="C2" s="23" t="s">
        <v>37</v>
      </c>
      <c r="D2" s="23" t="s">
        <v>37</v>
      </c>
      <c r="E2" s="23" t="s">
        <v>37</v>
      </c>
    </row>
    <row r="4" spans="1:5">
      <c r="A4" s="18" t="s">
        <v>157</v>
      </c>
      <c r="B4" s="18" t="s">
        <v>157</v>
      </c>
      <c r="C4" s="18" t="s">
        <v>157</v>
      </c>
      <c r="D4" s="18" t="s">
        <v>157</v>
      </c>
      <c r="E4" s="18" t="s">
        <v>157</v>
      </c>
    </row>
    <row r="5" spans="1:5">
      <c r="A5" s="24" t="s">
        <v>126</v>
      </c>
      <c r="B5" s="24" t="s">
        <v>126</v>
      </c>
      <c r="C5" s="24" t="s">
        <v>126</v>
      </c>
      <c r="D5" s="24" t="s">
        <v>126</v>
      </c>
      <c r="E5" s="24" t="s">
        <v>126</v>
      </c>
    </row>
    <row r="6" spans="1:5">
      <c r="A6" s="10" t="s">
        <v>232</v>
      </c>
      <c r="B6" s="10" t="s">
        <v>233</v>
      </c>
      <c r="C6" s="10" t="s">
        <v>234</v>
      </c>
      <c r="D6" s="10" t="s">
        <v>235</v>
      </c>
      <c r="E6" s="10" t="s">
        <v>236</v>
      </c>
    </row>
    <row r="7" spans="1:5" ht="24.75">
      <c r="A7" s="11" t="s">
        <v>237</v>
      </c>
      <c r="B7" s="11" t="s">
        <v>133</v>
      </c>
      <c r="C7" s="11" t="s">
        <v>160</v>
      </c>
      <c r="D7" s="11" t="s">
        <v>418</v>
      </c>
      <c r="E7" s="11">
        <v>0.18319170886930816</v>
      </c>
    </row>
    <row r="8" spans="1:5" ht="24.75">
      <c r="A8" s="11" t="s">
        <v>237</v>
      </c>
      <c r="B8" s="11" t="s">
        <v>133</v>
      </c>
      <c r="C8" s="11" t="s">
        <v>160</v>
      </c>
      <c r="D8" s="11" t="s">
        <v>419</v>
      </c>
      <c r="E8" s="11">
        <v>0.12556297861505464</v>
      </c>
    </row>
    <row r="9" spans="1:5" ht="24.75">
      <c r="A9" s="11" t="s">
        <v>237</v>
      </c>
      <c r="B9" s="11" t="s">
        <v>133</v>
      </c>
      <c r="C9" s="11" t="s">
        <v>160</v>
      </c>
      <c r="D9" s="11" t="s">
        <v>420</v>
      </c>
      <c r="E9" s="11">
        <v>0.1613411073086366</v>
      </c>
    </row>
    <row r="10" spans="1:5" ht="24.75">
      <c r="A10" s="11" t="s">
        <v>237</v>
      </c>
      <c r="B10" s="11" t="s">
        <v>133</v>
      </c>
      <c r="C10" s="11" t="s">
        <v>160</v>
      </c>
      <c r="D10" s="11" t="s">
        <v>421</v>
      </c>
      <c r="E10" s="11">
        <v>4.5428910012392736E-2</v>
      </c>
    </row>
    <row r="11" spans="1:5" ht="24.75">
      <c r="A11" s="11" t="s">
        <v>237</v>
      </c>
      <c r="B11" s="11" t="s">
        <v>133</v>
      </c>
      <c r="C11" s="11" t="s">
        <v>160</v>
      </c>
      <c r="D11" s="11" t="s">
        <v>422</v>
      </c>
      <c r="E11" s="11">
        <v>5.7843676280038954E-2</v>
      </c>
    </row>
    <row r="12" spans="1:5" ht="24.75">
      <c r="A12" s="11" t="s">
        <v>237</v>
      </c>
      <c r="B12" s="11" t="s">
        <v>133</v>
      </c>
      <c r="C12" s="11" t="s">
        <v>160</v>
      </c>
      <c r="D12" s="11" t="s">
        <v>423</v>
      </c>
      <c r="E12" s="11">
        <v>0.91073325896448687</v>
      </c>
    </row>
    <row r="13" spans="1:5" ht="24.75">
      <c r="A13" s="11" t="s">
        <v>237</v>
      </c>
      <c r="B13" s="11" t="s">
        <v>133</v>
      </c>
      <c r="C13" s="11" t="s">
        <v>160</v>
      </c>
      <c r="D13" s="11" t="s">
        <v>424</v>
      </c>
      <c r="E13" s="11">
        <v>8.4997608406357714E-2</v>
      </c>
    </row>
    <row r="14" spans="1:5" ht="24.75">
      <c r="A14" s="11" t="s">
        <v>237</v>
      </c>
      <c r="B14" s="11" t="s">
        <v>133</v>
      </c>
      <c r="C14" s="11" t="s">
        <v>160</v>
      </c>
      <c r="D14" s="11" t="s">
        <v>425</v>
      </c>
      <c r="E14" s="11">
        <v>9.9000000000009983E-2</v>
      </c>
    </row>
    <row r="15" spans="1:5" ht="24.75">
      <c r="A15" s="11" t="s">
        <v>237</v>
      </c>
      <c r="B15" s="11" t="s">
        <v>133</v>
      </c>
      <c r="C15" s="11" t="s">
        <v>160</v>
      </c>
      <c r="D15" s="11" t="s">
        <v>426</v>
      </c>
      <c r="E15" s="11">
        <v>1.1022748754082394</v>
      </c>
    </row>
    <row r="16" spans="1:5" ht="24.75">
      <c r="A16" s="11" t="s">
        <v>237</v>
      </c>
      <c r="B16" s="11" t="s">
        <v>133</v>
      </c>
      <c r="C16" s="11" t="s">
        <v>160</v>
      </c>
      <c r="D16" s="11" t="s">
        <v>427</v>
      </c>
      <c r="E16" s="11">
        <v>4.6292085918251384</v>
      </c>
    </row>
    <row r="17" spans="1:5" ht="24.75">
      <c r="A17" s="11" t="s">
        <v>237</v>
      </c>
      <c r="B17" s="11" t="s">
        <v>133</v>
      </c>
      <c r="C17" s="11" t="s">
        <v>160</v>
      </c>
      <c r="D17" s="11" t="s">
        <v>428</v>
      </c>
      <c r="E17" s="11">
        <v>4.0128104505154074E-3</v>
      </c>
    </row>
    <row r="18" spans="1:5" ht="24.75">
      <c r="A18" s="11" t="s">
        <v>237</v>
      </c>
      <c r="B18" s="11" t="s">
        <v>133</v>
      </c>
      <c r="C18" s="11" t="s">
        <v>160</v>
      </c>
      <c r="D18" s="11" t="s">
        <v>429</v>
      </c>
      <c r="E18" s="11">
        <v>0.13909041477826542</v>
      </c>
    </row>
    <row r="19" spans="1:5" ht="24.75">
      <c r="A19" s="11" t="s">
        <v>237</v>
      </c>
      <c r="B19" s="11" t="s">
        <v>133</v>
      </c>
      <c r="C19" s="11" t="s">
        <v>160</v>
      </c>
      <c r="D19" s="11" t="s">
        <v>430</v>
      </c>
      <c r="E19" s="11">
        <v>1.875028219407443E-2</v>
      </c>
    </row>
    <row r="20" spans="1:5" ht="24.75">
      <c r="A20" s="11" t="s">
        <v>237</v>
      </c>
      <c r="B20" s="11" t="s">
        <v>133</v>
      </c>
      <c r="C20" s="11" t="s">
        <v>160</v>
      </c>
      <c r="D20" s="11" t="s">
        <v>431</v>
      </c>
      <c r="E20" s="11">
        <v>2.0673193758924867E-2</v>
      </c>
    </row>
    <row r="21" spans="1:5" ht="24.75">
      <c r="A21" s="11" t="s">
        <v>237</v>
      </c>
      <c r="B21" s="11" t="s">
        <v>133</v>
      </c>
      <c r="C21" s="11" t="s">
        <v>160</v>
      </c>
      <c r="D21" s="11" t="s">
        <v>432</v>
      </c>
      <c r="E21" s="11">
        <v>1.1088930192960344E-2</v>
      </c>
    </row>
    <row r="22" spans="1:5" ht="24.75">
      <c r="A22" s="11" t="s">
        <v>237</v>
      </c>
      <c r="B22" s="11" t="s">
        <v>133</v>
      </c>
      <c r="C22" s="11" t="s">
        <v>160</v>
      </c>
      <c r="D22" s="11" t="s">
        <v>433</v>
      </c>
      <c r="E22" s="11">
        <v>0.18347602700256496</v>
      </c>
    </row>
    <row r="23" spans="1:5" ht="24.75">
      <c r="A23" s="11" t="s">
        <v>237</v>
      </c>
      <c r="B23" s="11" t="s">
        <v>133</v>
      </c>
      <c r="C23" s="11" t="s">
        <v>160</v>
      </c>
      <c r="D23" s="11" t="s">
        <v>434</v>
      </c>
      <c r="E23" s="11">
        <v>6.4631113244240243E-2</v>
      </c>
    </row>
    <row r="24" spans="1:5" ht="24.75">
      <c r="A24" s="11" t="s">
        <v>237</v>
      </c>
      <c r="B24" s="11" t="s">
        <v>133</v>
      </c>
      <c r="C24" s="11" t="s">
        <v>160</v>
      </c>
      <c r="D24" s="11" t="s">
        <v>435</v>
      </c>
      <c r="E24" s="11">
        <v>5.9526154873202716E-2</v>
      </c>
    </row>
    <row r="25" spans="1:5" ht="24.75">
      <c r="A25" s="11" t="s">
        <v>237</v>
      </c>
      <c r="B25" s="11" t="s">
        <v>133</v>
      </c>
      <c r="C25" s="11" t="s">
        <v>160</v>
      </c>
      <c r="D25" s="11" t="s">
        <v>436</v>
      </c>
      <c r="E25" s="11">
        <v>1.2046850906980149</v>
      </c>
    </row>
    <row r="26" spans="1:5" ht="24.75">
      <c r="A26" s="11" t="s">
        <v>237</v>
      </c>
      <c r="B26" s="11" t="s">
        <v>133</v>
      </c>
      <c r="C26" s="11" t="s">
        <v>160</v>
      </c>
      <c r="D26" s="11" t="s">
        <v>437</v>
      </c>
      <c r="E26" s="11">
        <v>1.0840637097998547</v>
      </c>
    </row>
    <row r="27" spans="1:5" ht="24.75">
      <c r="A27" s="11" t="s">
        <v>237</v>
      </c>
      <c r="B27" s="11" t="s">
        <v>133</v>
      </c>
      <c r="C27" s="11" t="s">
        <v>160</v>
      </c>
      <c r="D27" s="11" t="s">
        <v>438</v>
      </c>
      <c r="E27" s="11">
        <v>0.10477711959919075</v>
      </c>
    </row>
    <row r="28" spans="1:5" ht="24.75">
      <c r="A28" s="11" t="s">
        <v>237</v>
      </c>
      <c r="B28" s="11" t="s">
        <v>133</v>
      </c>
      <c r="C28" s="11" t="s">
        <v>160</v>
      </c>
      <c r="D28" s="11" t="s">
        <v>439</v>
      </c>
      <c r="E28" s="11">
        <v>1.8430034453521288E-2</v>
      </c>
    </row>
    <row r="29" spans="1:5" ht="24.75">
      <c r="A29" s="11" t="s">
        <v>237</v>
      </c>
      <c r="B29" s="11" t="s">
        <v>133</v>
      </c>
      <c r="C29" s="11" t="s">
        <v>160</v>
      </c>
      <c r="D29" s="11" t="s">
        <v>440</v>
      </c>
      <c r="E29" s="11">
        <v>0.15247382381069949</v>
      </c>
    </row>
    <row r="30" spans="1:5" ht="24.75">
      <c r="A30" s="11" t="s">
        <v>237</v>
      </c>
      <c r="B30" s="11" t="s">
        <v>133</v>
      </c>
      <c r="C30" s="11" t="s">
        <v>160</v>
      </c>
      <c r="D30" s="11" t="s">
        <v>441</v>
      </c>
      <c r="E30" s="11">
        <v>1.8430736294812056E-2</v>
      </c>
    </row>
    <row r="31" spans="1:5" ht="24.75">
      <c r="A31" s="11" t="s">
        <v>237</v>
      </c>
      <c r="B31" s="11" t="s">
        <v>133</v>
      </c>
      <c r="C31" s="11" t="s">
        <v>160</v>
      </c>
      <c r="D31" s="11" t="s">
        <v>442</v>
      </c>
      <c r="E31" s="11">
        <v>0.225010101354158</v>
      </c>
    </row>
    <row r="32" spans="1:5" ht="24.75">
      <c r="A32" s="11" t="s">
        <v>237</v>
      </c>
      <c r="B32" s="11" t="s">
        <v>133</v>
      </c>
      <c r="C32" s="11" t="s">
        <v>160</v>
      </c>
      <c r="D32" s="11" t="s">
        <v>443</v>
      </c>
      <c r="E32" s="11">
        <v>1.74249914428533E-2</v>
      </c>
    </row>
    <row r="33" spans="1:5" ht="24.75">
      <c r="A33" s="11" t="s">
        <v>237</v>
      </c>
      <c r="B33" s="11" t="s">
        <v>133</v>
      </c>
      <c r="C33" s="11" t="s">
        <v>160</v>
      </c>
      <c r="D33" s="11" t="s">
        <v>444</v>
      </c>
      <c r="E33" s="11">
        <v>1.7424832722380674E-2</v>
      </c>
    </row>
    <row r="34" spans="1:5" ht="24.75">
      <c r="A34" s="11" t="s">
        <v>237</v>
      </c>
      <c r="B34" s="11" t="s">
        <v>133</v>
      </c>
      <c r="C34" s="11" t="s">
        <v>160</v>
      </c>
      <c r="D34" s="11" t="s">
        <v>445</v>
      </c>
      <c r="E34" s="11">
        <v>0.14527635698407401</v>
      </c>
    </row>
    <row r="35" spans="1:5" ht="24.75">
      <c r="A35" s="11" t="s">
        <v>237</v>
      </c>
      <c r="B35" s="11" t="s">
        <v>133</v>
      </c>
      <c r="C35" s="11" t="s">
        <v>160</v>
      </c>
      <c r="D35" s="11" t="s">
        <v>446</v>
      </c>
      <c r="E35" s="11">
        <v>0.28541223939419591</v>
      </c>
    </row>
    <row r="36" spans="1:5" ht="24.75">
      <c r="A36" s="11" t="s">
        <v>237</v>
      </c>
      <c r="B36" s="11" t="s">
        <v>133</v>
      </c>
      <c r="C36" s="11" t="s">
        <v>160</v>
      </c>
      <c r="D36" s="11" t="s">
        <v>447</v>
      </c>
      <c r="E36" s="11">
        <v>6.501088348953564E-2</v>
      </c>
    </row>
    <row r="37" spans="1:5" ht="24.75">
      <c r="A37" s="11" t="s">
        <v>237</v>
      </c>
      <c r="B37" s="11" t="s">
        <v>133</v>
      </c>
      <c r="C37" s="11" t="s">
        <v>160</v>
      </c>
      <c r="D37" s="11" t="s">
        <v>448</v>
      </c>
      <c r="E37" s="11">
        <v>3.4375795802188995E-3</v>
      </c>
    </row>
    <row r="38" spans="1:5" ht="24.75">
      <c r="A38" s="11" t="s">
        <v>237</v>
      </c>
      <c r="B38" s="11" t="s">
        <v>133</v>
      </c>
      <c r="C38" s="11" t="s">
        <v>160</v>
      </c>
      <c r="D38" s="11" t="s">
        <v>449</v>
      </c>
      <c r="E38" s="11">
        <v>0.28571853005010805</v>
      </c>
    </row>
    <row r="39" spans="1:5" ht="24.75">
      <c r="A39" s="11" t="s">
        <v>237</v>
      </c>
      <c r="B39" s="11" t="s">
        <v>133</v>
      </c>
      <c r="C39" s="11" t="s">
        <v>160</v>
      </c>
      <c r="D39" s="11" t="s">
        <v>450</v>
      </c>
      <c r="E39" s="11">
        <v>7.5673079875151983E-2</v>
      </c>
    </row>
    <row r="40" spans="1:5" ht="24.75">
      <c r="A40" s="11" t="s">
        <v>237</v>
      </c>
      <c r="B40" s="11" t="s">
        <v>133</v>
      </c>
      <c r="C40" s="11" t="s">
        <v>160</v>
      </c>
      <c r="D40" s="11" t="s">
        <v>451</v>
      </c>
      <c r="E40" s="11">
        <v>1.1781439598153675E-2</v>
      </c>
    </row>
    <row r="41" spans="1:5" ht="24.75">
      <c r="A41" s="11" t="s">
        <v>237</v>
      </c>
      <c r="B41" s="11" t="s">
        <v>133</v>
      </c>
      <c r="C41" s="11" t="s">
        <v>160</v>
      </c>
      <c r="D41" s="11" t="s">
        <v>452</v>
      </c>
      <c r="E41" s="11">
        <v>0.23019494342551838</v>
      </c>
    </row>
    <row r="42" spans="1:5" ht="24.75">
      <c r="A42" s="11" t="s">
        <v>237</v>
      </c>
      <c r="B42" s="11" t="s">
        <v>133</v>
      </c>
      <c r="C42" s="11" t="s">
        <v>160</v>
      </c>
      <c r="D42" s="11" t="s">
        <v>453</v>
      </c>
      <c r="E42" s="11">
        <v>0.33299290207888704</v>
      </c>
    </row>
    <row r="43" spans="1:5" ht="24.75">
      <c r="A43" s="11" t="s">
        <v>237</v>
      </c>
      <c r="B43" s="11" t="s">
        <v>133</v>
      </c>
      <c r="C43" s="11" t="s">
        <v>160</v>
      </c>
      <c r="D43" s="11" t="s">
        <v>454</v>
      </c>
      <c r="E43" s="11">
        <v>0.22634373120475293</v>
      </c>
    </row>
    <row r="44" spans="1:5" ht="24.75">
      <c r="A44" s="11" t="s">
        <v>237</v>
      </c>
      <c r="B44" s="11" t="s">
        <v>133</v>
      </c>
      <c r="C44" s="11" t="s">
        <v>160</v>
      </c>
      <c r="D44" s="11" t="s">
        <v>455</v>
      </c>
      <c r="E44" s="11">
        <v>1.4468241818043966E-2</v>
      </c>
    </row>
    <row r="45" spans="1:5" ht="24.75">
      <c r="A45" s="11" t="s">
        <v>237</v>
      </c>
      <c r="B45" s="11" t="s">
        <v>133</v>
      </c>
      <c r="C45" s="11" t="s">
        <v>160</v>
      </c>
      <c r="D45" s="11" t="s">
        <v>456</v>
      </c>
      <c r="E45" s="11">
        <v>4.1982600500431906E-2</v>
      </c>
    </row>
    <row r="46" spans="1:5" ht="24.75">
      <c r="A46" s="11" t="s">
        <v>237</v>
      </c>
      <c r="B46" s="11" t="s">
        <v>133</v>
      </c>
      <c r="C46" s="11" t="s">
        <v>160</v>
      </c>
      <c r="D46" s="11" t="s">
        <v>457</v>
      </c>
      <c r="E46" s="11">
        <v>0.79766695151125178</v>
      </c>
    </row>
    <row r="47" spans="1:5" ht="24.75">
      <c r="A47" s="11" t="s">
        <v>237</v>
      </c>
      <c r="B47" s="11" t="s">
        <v>133</v>
      </c>
      <c r="C47" s="11" t="s">
        <v>160</v>
      </c>
      <c r="D47" s="11" t="s">
        <v>458</v>
      </c>
      <c r="E47" s="11">
        <v>0.44258853586408925</v>
      </c>
    </row>
    <row r="48" spans="1:5">
      <c r="A48" s="1" t="s">
        <v>126</v>
      </c>
      <c r="B48" s="1" t="s">
        <v>126</v>
      </c>
      <c r="C48" s="1">
        <f>SUBTOTAL(103,Elements13861[Elemento])</f>
        <v>41</v>
      </c>
      <c r="D48" s="1" t="s">
        <v>126</v>
      </c>
      <c r="E48" s="1">
        <f>SUBTOTAL(109,Elements13861[Totais:])</f>
        <v>13.702100097734311</v>
      </c>
    </row>
  </sheetData>
  <mergeCells count="3">
    <mergeCell ref="A1:E2"/>
    <mergeCell ref="A4:E4"/>
    <mergeCell ref="A5:E5"/>
  </mergeCells>
  <hyperlinks>
    <hyperlink ref="A1" location="'13.8.6'!A1" display="ELETRODUTO FLEXIVEL, EM FITA DE ACO GALVANIZADO, REVESTIDO COM PVC PRETO, DIAMETRO EXTERNO DE 32 MM, DN = 1”, TIPO SEALTUBO" xr:uid="{00000000-0004-0000-2200-000000000000}"/>
    <hyperlink ref="B1" location="'13.8.6'!A1" display="ELETRODUTO FLEXIVEL, EM FITA DE ACO GALVANIZADO, REVESTIDO COM PVC PRETO, DIAMETRO EXTERNO DE 32 MM, DN = 1”, TIPO SEALTUBO" xr:uid="{00000000-0004-0000-2200-000001000000}"/>
    <hyperlink ref="C1" location="'13.8.6'!A1" display="ELETRODUTO FLEXIVEL, EM FITA DE ACO GALVANIZADO, REVESTIDO COM PVC PRETO, DIAMETRO EXTERNO DE 32 MM, DN = 1”, TIPO SEALTUBO" xr:uid="{00000000-0004-0000-2200-000002000000}"/>
    <hyperlink ref="D1" location="'13.8.6'!A1" display="ELETRODUTO FLEXIVEL, EM FITA DE ACO GALVANIZADO, REVESTIDO COM PVC PRETO, DIAMETRO EXTERNO DE 32 MM, DN = 1”, TIPO SEALTUBO" xr:uid="{00000000-0004-0000-2200-000003000000}"/>
    <hyperlink ref="E1" location="'13.8.6'!A1" display="ELETRODUTO FLEXIVEL, EM FITA DE ACO GALVANIZADO, REVESTIDO COM PVC PRETO, DIAMETRO EXTERNO DE 32 MM, DN = 1”, TIPO SEALTUBO" xr:uid="{00000000-0004-0000-2200-000004000000}"/>
    <hyperlink ref="A2" location="'13.8.6'!A1" display="ELETRODUTO FLEXIVEL, EM FITA DE ACO GALVANIZADO, REVESTIDO COM PVC PRETO, DIAMETRO EXTERNO DE 32 MM, DN = 1”, TIPO SEALTUBO" xr:uid="{00000000-0004-0000-2200-000005000000}"/>
    <hyperlink ref="B2" location="'13.8.6'!A1" display="ELETRODUTO FLEXIVEL, EM FITA DE ACO GALVANIZADO, REVESTIDO COM PVC PRETO, DIAMETRO EXTERNO DE 32 MM, DN = 1”, TIPO SEALTUBO" xr:uid="{00000000-0004-0000-2200-000006000000}"/>
    <hyperlink ref="C2" location="'13.8.6'!A1" display="ELETRODUTO FLEXIVEL, EM FITA DE ACO GALVANIZADO, REVESTIDO COM PVC PRETO, DIAMETRO EXTERNO DE 32 MM, DN = 1”, TIPO SEALTUBO" xr:uid="{00000000-0004-0000-2200-000007000000}"/>
    <hyperlink ref="D2" location="'13.8.6'!A1" display="ELETRODUTO FLEXIVEL, EM FITA DE ACO GALVANIZADO, REVESTIDO COM PVC PRETO, DIAMETRO EXTERNO DE 32 MM, DN = 1”, TIPO SEALTUBO" xr:uid="{00000000-0004-0000-2200-000008000000}"/>
    <hyperlink ref="E2" location="'13.8.6'!A1" display="ELETRODUTO FLEXIVEL, EM FITA DE ACO GALVANIZADO, REVESTIDO COM PVC PRETO, DIAMETRO EXTERNO DE 32 MM, DN = 1”, TIPO SEALTUBO" xr:uid="{00000000-0004-0000-2200-000009000000}"/>
    <hyperlink ref="A4" location="'13.8.6'!A1" display="Conduites (Comprimento)" xr:uid="{00000000-0004-0000-2200-00000A000000}"/>
    <hyperlink ref="B4" location="'13.8.6'!A1" display="Conduites (Comprimento)" xr:uid="{00000000-0004-0000-2200-00000B000000}"/>
    <hyperlink ref="C4" location="'13.8.6'!A1" display="Conduites (Comprimento)" xr:uid="{00000000-0004-0000-2200-00000C000000}"/>
    <hyperlink ref="D4" location="'13.8.6'!A1" display="Conduites (Comprimento)" xr:uid="{00000000-0004-0000-2200-00000D000000}"/>
    <hyperlink ref="E4" location="'13.8.6'!A1" display="Conduites (Comprimento)" xr:uid="{00000000-0004-0000-22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E8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41</v>
      </c>
      <c r="B1" s="23" t="s">
        <v>41</v>
      </c>
      <c r="C1" s="23" t="s">
        <v>41</v>
      </c>
      <c r="D1" s="23" t="s">
        <v>41</v>
      </c>
      <c r="E1" s="23" t="s">
        <v>41</v>
      </c>
    </row>
    <row r="2" spans="1:5">
      <c r="A2" s="23" t="s">
        <v>41</v>
      </c>
      <c r="B2" s="23" t="s">
        <v>41</v>
      </c>
      <c r="C2" s="23" t="s">
        <v>41</v>
      </c>
      <c r="D2" s="23" t="s">
        <v>41</v>
      </c>
      <c r="E2" s="23" t="s">
        <v>41</v>
      </c>
    </row>
    <row r="4" spans="1:5">
      <c r="A4" s="18" t="s">
        <v>163</v>
      </c>
      <c r="B4" s="18" t="s">
        <v>163</v>
      </c>
      <c r="C4" s="18" t="s">
        <v>163</v>
      </c>
      <c r="D4" s="18" t="s">
        <v>163</v>
      </c>
      <c r="E4" s="18" t="s">
        <v>163</v>
      </c>
    </row>
    <row r="5" spans="1:5">
      <c r="A5" s="24" t="s">
        <v>126</v>
      </c>
      <c r="B5" s="24" t="s">
        <v>126</v>
      </c>
      <c r="C5" s="24" t="s">
        <v>126</v>
      </c>
      <c r="D5" s="24" t="s">
        <v>126</v>
      </c>
      <c r="E5" s="24" t="s">
        <v>126</v>
      </c>
    </row>
    <row r="6" spans="1:5">
      <c r="A6" s="10" t="s">
        <v>232</v>
      </c>
      <c r="B6" s="10" t="s">
        <v>233</v>
      </c>
      <c r="C6" s="10" t="s">
        <v>234</v>
      </c>
      <c r="D6" s="10" t="s">
        <v>235</v>
      </c>
      <c r="E6" s="10" t="s">
        <v>236</v>
      </c>
    </row>
    <row r="7" spans="1:5" ht="24.75">
      <c r="A7" s="11" t="s">
        <v>237</v>
      </c>
      <c r="B7" s="11" t="s">
        <v>133</v>
      </c>
      <c r="C7" s="11" t="s">
        <v>459</v>
      </c>
      <c r="D7" s="11" t="s">
        <v>460</v>
      </c>
      <c r="E7" s="11">
        <v>1</v>
      </c>
    </row>
    <row r="8" spans="1:5">
      <c r="A8" s="1" t="s">
        <v>126</v>
      </c>
      <c r="B8" s="1" t="s">
        <v>126</v>
      </c>
      <c r="C8" s="1">
        <f>SUBTOTAL(103,Elements13871[Elemento])</f>
        <v>1</v>
      </c>
      <c r="D8" s="1" t="s">
        <v>126</v>
      </c>
      <c r="E8" s="1">
        <f>SUBTOTAL(109,Elements13871[Totais:])</f>
        <v>1</v>
      </c>
    </row>
  </sheetData>
  <mergeCells count="3">
    <mergeCell ref="A1:E2"/>
    <mergeCell ref="A4:E4"/>
    <mergeCell ref="A5:E5"/>
  </mergeCells>
  <hyperlinks>
    <hyperlink ref="A1" location="'13.8.7'!A1" display="CAIXA DE PASSAGEM DE SOBREPOR METALICA 15x15x10" xr:uid="{00000000-0004-0000-2300-000000000000}"/>
    <hyperlink ref="B1" location="'13.8.7'!A1" display="CAIXA DE PASSAGEM DE SOBREPOR METALICA 15x15x10" xr:uid="{00000000-0004-0000-2300-000001000000}"/>
    <hyperlink ref="C1" location="'13.8.7'!A1" display="CAIXA DE PASSAGEM DE SOBREPOR METALICA 15x15x10" xr:uid="{00000000-0004-0000-2300-000002000000}"/>
    <hyperlink ref="D1" location="'13.8.7'!A1" display="CAIXA DE PASSAGEM DE SOBREPOR METALICA 15x15x10" xr:uid="{00000000-0004-0000-2300-000003000000}"/>
    <hyperlink ref="E1" location="'13.8.7'!A1" display="CAIXA DE PASSAGEM DE SOBREPOR METALICA 15x15x10" xr:uid="{00000000-0004-0000-2300-000004000000}"/>
    <hyperlink ref="A2" location="'13.8.7'!A1" display="CAIXA DE PASSAGEM DE SOBREPOR METALICA 15x15x10" xr:uid="{00000000-0004-0000-2300-000005000000}"/>
    <hyperlink ref="B2" location="'13.8.7'!A1" display="CAIXA DE PASSAGEM DE SOBREPOR METALICA 15x15x10" xr:uid="{00000000-0004-0000-2300-000006000000}"/>
    <hyperlink ref="C2" location="'13.8.7'!A1" display="CAIXA DE PASSAGEM DE SOBREPOR METALICA 15x15x10" xr:uid="{00000000-0004-0000-2300-000007000000}"/>
    <hyperlink ref="D2" location="'13.8.7'!A1" display="CAIXA DE PASSAGEM DE SOBREPOR METALICA 15x15x10" xr:uid="{00000000-0004-0000-2300-000008000000}"/>
    <hyperlink ref="E2" location="'13.8.7'!A1" display="CAIXA DE PASSAGEM DE SOBREPOR METALICA 15x15x10" xr:uid="{00000000-0004-0000-2300-000009000000}"/>
    <hyperlink ref="A4" location="'13.8.7'!A1" display="Equipamento elétrico (A)" xr:uid="{00000000-0004-0000-2300-00000A000000}"/>
    <hyperlink ref="B4" location="'13.8.7'!A1" display="Equipamento elétrico (A)" xr:uid="{00000000-0004-0000-2300-00000B000000}"/>
    <hyperlink ref="C4" location="'13.8.7'!A1" display="Equipamento elétrico (A)" xr:uid="{00000000-0004-0000-2300-00000C000000}"/>
    <hyperlink ref="D4" location="'13.8.7'!A1" display="Equipamento elétrico (A)" xr:uid="{00000000-0004-0000-2300-00000D000000}"/>
    <hyperlink ref="E4" location="'13.8.7'!A1" display="Equipamento elétrico (A)" xr:uid="{00000000-0004-0000-23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E42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46</v>
      </c>
      <c r="B1" s="23" t="s">
        <v>46</v>
      </c>
      <c r="C1" s="23" t="s">
        <v>46</v>
      </c>
      <c r="D1" s="23" t="s">
        <v>46</v>
      </c>
      <c r="E1" s="23" t="s">
        <v>46</v>
      </c>
    </row>
    <row r="2" spans="1:5">
      <c r="A2" s="23" t="s">
        <v>46</v>
      </c>
      <c r="B2" s="23" t="s">
        <v>46</v>
      </c>
      <c r="C2" s="23" t="s">
        <v>46</v>
      </c>
      <c r="D2" s="23" t="s">
        <v>46</v>
      </c>
      <c r="E2" s="23" t="s">
        <v>46</v>
      </c>
    </row>
    <row r="4" spans="1:5">
      <c r="A4" s="18" t="s">
        <v>168</v>
      </c>
      <c r="B4" s="18" t="s">
        <v>168</v>
      </c>
      <c r="C4" s="18" t="s">
        <v>168</v>
      </c>
      <c r="D4" s="18" t="s">
        <v>168</v>
      </c>
      <c r="E4" s="18" t="s">
        <v>168</v>
      </c>
    </row>
    <row r="5" spans="1:5">
      <c r="A5" s="24" t="s">
        <v>126</v>
      </c>
      <c r="B5" s="24" t="s">
        <v>126</v>
      </c>
      <c r="C5" s="24" t="s">
        <v>126</v>
      </c>
      <c r="D5" s="24" t="s">
        <v>126</v>
      </c>
      <c r="E5" s="24" t="s">
        <v>126</v>
      </c>
    </row>
    <row r="6" spans="1:5">
      <c r="A6" s="10" t="s">
        <v>232</v>
      </c>
      <c r="B6" s="10" t="s">
        <v>233</v>
      </c>
      <c r="C6" s="10" t="s">
        <v>234</v>
      </c>
      <c r="D6" s="10" t="s">
        <v>235</v>
      </c>
      <c r="E6" s="10" t="s">
        <v>236</v>
      </c>
    </row>
    <row r="7" spans="1:5" ht="24.75">
      <c r="A7" s="11" t="s">
        <v>237</v>
      </c>
      <c r="B7" s="11" t="s">
        <v>133</v>
      </c>
      <c r="C7" s="11" t="s">
        <v>171</v>
      </c>
      <c r="D7" s="11" t="s">
        <v>461</v>
      </c>
      <c r="E7" s="11">
        <v>1</v>
      </c>
    </row>
    <row r="8" spans="1:5" ht="24.75">
      <c r="A8" s="11" t="s">
        <v>237</v>
      </c>
      <c r="B8" s="11" t="s">
        <v>133</v>
      </c>
      <c r="C8" s="11" t="s">
        <v>171</v>
      </c>
      <c r="D8" s="11" t="s">
        <v>462</v>
      </c>
      <c r="E8" s="11">
        <v>1</v>
      </c>
    </row>
    <row r="9" spans="1:5" ht="24.75">
      <c r="A9" s="11" t="s">
        <v>237</v>
      </c>
      <c r="B9" s="11" t="s">
        <v>133</v>
      </c>
      <c r="C9" s="11" t="s">
        <v>171</v>
      </c>
      <c r="D9" s="11" t="s">
        <v>463</v>
      </c>
      <c r="E9" s="11">
        <v>1</v>
      </c>
    </row>
    <row r="10" spans="1:5" ht="24.75">
      <c r="A10" s="11" t="s">
        <v>237</v>
      </c>
      <c r="B10" s="11" t="s">
        <v>133</v>
      </c>
      <c r="C10" s="11" t="s">
        <v>171</v>
      </c>
      <c r="D10" s="11" t="s">
        <v>464</v>
      </c>
      <c r="E10" s="11">
        <v>1</v>
      </c>
    </row>
    <row r="11" spans="1:5" ht="24.75">
      <c r="A11" s="11" t="s">
        <v>237</v>
      </c>
      <c r="B11" s="11" t="s">
        <v>133</v>
      </c>
      <c r="C11" s="11" t="s">
        <v>171</v>
      </c>
      <c r="D11" s="11" t="s">
        <v>465</v>
      </c>
      <c r="E11" s="11">
        <v>1</v>
      </c>
    </row>
    <row r="12" spans="1:5" ht="24.75">
      <c r="A12" s="11" t="s">
        <v>237</v>
      </c>
      <c r="B12" s="11" t="s">
        <v>133</v>
      </c>
      <c r="C12" s="11" t="s">
        <v>171</v>
      </c>
      <c r="D12" s="11" t="s">
        <v>466</v>
      </c>
      <c r="E12" s="11">
        <v>1</v>
      </c>
    </row>
    <row r="13" spans="1:5" ht="24.75">
      <c r="A13" s="11" t="s">
        <v>237</v>
      </c>
      <c r="B13" s="11" t="s">
        <v>133</v>
      </c>
      <c r="C13" s="11" t="s">
        <v>171</v>
      </c>
      <c r="D13" s="11" t="s">
        <v>467</v>
      </c>
      <c r="E13" s="11">
        <v>1</v>
      </c>
    </row>
    <row r="14" spans="1:5" ht="24.75">
      <c r="A14" s="11" t="s">
        <v>237</v>
      </c>
      <c r="B14" s="11" t="s">
        <v>133</v>
      </c>
      <c r="C14" s="11" t="s">
        <v>171</v>
      </c>
      <c r="D14" s="11" t="s">
        <v>468</v>
      </c>
      <c r="E14" s="11">
        <v>1</v>
      </c>
    </row>
    <row r="15" spans="1:5" ht="24.75">
      <c r="A15" s="11" t="s">
        <v>237</v>
      </c>
      <c r="B15" s="11" t="s">
        <v>133</v>
      </c>
      <c r="C15" s="11" t="s">
        <v>171</v>
      </c>
      <c r="D15" s="11" t="s">
        <v>469</v>
      </c>
      <c r="E15" s="11">
        <v>1</v>
      </c>
    </row>
    <row r="16" spans="1:5" ht="24.75">
      <c r="A16" s="11" t="s">
        <v>237</v>
      </c>
      <c r="B16" s="11" t="s">
        <v>133</v>
      </c>
      <c r="C16" s="11" t="s">
        <v>171</v>
      </c>
      <c r="D16" s="11" t="s">
        <v>470</v>
      </c>
      <c r="E16" s="11">
        <v>1</v>
      </c>
    </row>
    <row r="17" spans="1:5" ht="24.75">
      <c r="A17" s="11" t="s">
        <v>237</v>
      </c>
      <c r="B17" s="11" t="s">
        <v>133</v>
      </c>
      <c r="C17" s="11" t="s">
        <v>171</v>
      </c>
      <c r="D17" s="11" t="s">
        <v>471</v>
      </c>
      <c r="E17" s="11">
        <v>1</v>
      </c>
    </row>
    <row r="18" spans="1:5" ht="24.75">
      <c r="A18" s="11" t="s">
        <v>237</v>
      </c>
      <c r="B18" s="11" t="s">
        <v>133</v>
      </c>
      <c r="C18" s="11" t="s">
        <v>171</v>
      </c>
      <c r="D18" s="11" t="s">
        <v>472</v>
      </c>
      <c r="E18" s="11">
        <v>1</v>
      </c>
    </row>
    <row r="19" spans="1:5" ht="24.75">
      <c r="A19" s="11" t="s">
        <v>237</v>
      </c>
      <c r="B19" s="11" t="s">
        <v>133</v>
      </c>
      <c r="C19" s="11" t="s">
        <v>171</v>
      </c>
      <c r="D19" s="11" t="s">
        <v>473</v>
      </c>
      <c r="E19" s="11">
        <v>1</v>
      </c>
    </row>
    <row r="20" spans="1:5">
      <c r="A20" s="1" t="s">
        <v>126</v>
      </c>
      <c r="B20" s="1" t="s">
        <v>126</v>
      </c>
      <c r="C20" s="1">
        <f>SUBTOTAL(103,Elements13881[Elemento])</f>
        <v>13</v>
      </c>
      <c r="D20" s="1" t="s">
        <v>126</v>
      </c>
      <c r="E20" s="1">
        <f>SUBTOTAL(109,Elements13881[Totais:])</f>
        <v>13</v>
      </c>
    </row>
    <row r="23" spans="1:5">
      <c r="A23" s="23" t="s">
        <v>46</v>
      </c>
      <c r="B23" s="23" t="s">
        <v>46</v>
      </c>
      <c r="C23" s="23" t="s">
        <v>46</v>
      </c>
      <c r="D23" s="23" t="s">
        <v>46</v>
      </c>
      <c r="E23" s="23" t="s">
        <v>46</v>
      </c>
    </row>
    <row r="24" spans="1:5">
      <c r="A24" s="23" t="s">
        <v>46</v>
      </c>
      <c r="B24" s="23" t="s">
        <v>46</v>
      </c>
      <c r="C24" s="23" t="s">
        <v>46</v>
      </c>
      <c r="D24" s="23" t="s">
        <v>46</v>
      </c>
      <c r="E24" s="23" t="s">
        <v>46</v>
      </c>
    </row>
    <row r="26" spans="1:5">
      <c r="A26" s="18" t="s">
        <v>168</v>
      </c>
      <c r="B26" s="18" t="s">
        <v>168</v>
      </c>
      <c r="C26" s="18" t="s">
        <v>168</v>
      </c>
      <c r="D26" s="18" t="s">
        <v>168</v>
      </c>
      <c r="E26" s="18" t="s">
        <v>168</v>
      </c>
    </row>
    <row r="27" spans="1:5">
      <c r="A27" s="24" t="s">
        <v>126</v>
      </c>
      <c r="B27" s="24" t="s">
        <v>126</v>
      </c>
      <c r="C27" s="24" t="s">
        <v>126</v>
      </c>
      <c r="D27" s="24" t="s">
        <v>126</v>
      </c>
      <c r="E27" s="24" t="s">
        <v>126</v>
      </c>
    </row>
    <row r="28" spans="1:5">
      <c r="A28" s="10" t="s">
        <v>232</v>
      </c>
      <c r="B28" s="10" t="s">
        <v>233</v>
      </c>
      <c r="C28" s="10" t="s">
        <v>234</v>
      </c>
      <c r="D28" s="10" t="s">
        <v>235</v>
      </c>
      <c r="E28" s="10" t="s">
        <v>236</v>
      </c>
    </row>
    <row r="29" spans="1:5" ht="24.75">
      <c r="A29" s="11" t="s">
        <v>237</v>
      </c>
      <c r="B29" s="11" t="s">
        <v>133</v>
      </c>
      <c r="C29" s="11" t="s">
        <v>172</v>
      </c>
      <c r="D29" s="11" t="s">
        <v>474</v>
      </c>
      <c r="E29" s="11">
        <v>1</v>
      </c>
    </row>
    <row r="30" spans="1:5" ht="24.75">
      <c r="A30" s="11" t="s">
        <v>237</v>
      </c>
      <c r="B30" s="11" t="s">
        <v>133</v>
      </c>
      <c r="C30" s="11" t="s">
        <v>172</v>
      </c>
      <c r="D30" s="11" t="s">
        <v>475</v>
      </c>
      <c r="E30" s="11">
        <v>1</v>
      </c>
    </row>
    <row r="31" spans="1:5" ht="24.75">
      <c r="A31" s="11" t="s">
        <v>237</v>
      </c>
      <c r="B31" s="11" t="s">
        <v>133</v>
      </c>
      <c r="C31" s="11" t="s">
        <v>172</v>
      </c>
      <c r="D31" s="11" t="s">
        <v>476</v>
      </c>
      <c r="E31" s="11">
        <v>1</v>
      </c>
    </row>
    <row r="32" spans="1:5" ht="24.75">
      <c r="A32" s="11" t="s">
        <v>237</v>
      </c>
      <c r="B32" s="11" t="s">
        <v>133</v>
      </c>
      <c r="C32" s="11" t="s">
        <v>172</v>
      </c>
      <c r="D32" s="11" t="s">
        <v>477</v>
      </c>
      <c r="E32" s="11">
        <v>1</v>
      </c>
    </row>
    <row r="33" spans="1:5" ht="24.75">
      <c r="A33" s="11" t="s">
        <v>237</v>
      </c>
      <c r="B33" s="11" t="s">
        <v>133</v>
      </c>
      <c r="C33" s="11" t="s">
        <v>172</v>
      </c>
      <c r="D33" s="11" t="s">
        <v>478</v>
      </c>
      <c r="E33" s="11">
        <v>1</v>
      </c>
    </row>
    <row r="34" spans="1:5" ht="24.75">
      <c r="A34" s="11" t="s">
        <v>237</v>
      </c>
      <c r="B34" s="11" t="s">
        <v>133</v>
      </c>
      <c r="C34" s="11" t="s">
        <v>172</v>
      </c>
      <c r="D34" s="11" t="s">
        <v>479</v>
      </c>
      <c r="E34" s="11">
        <v>1</v>
      </c>
    </row>
    <row r="35" spans="1:5" ht="24.75">
      <c r="A35" s="11" t="s">
        <v>237</v>
      </c>
      <c r="B35" s="11" t="s">
        <v>133</v>
      </c>
      <c r="C35" s="11" t="s">
        <v>172</v>
      </c>
      <c r="D35" s="11" t="s">
        <v>480</v>
      </c>
      <c r="E35" s="11">
        <v>1</v>
      </c>
    </row>
    <row r="36" spans="1:5" ht="24.75">
      <c r="A36" s="11" t="s">
        <v>237</v>
      </c>
      <c r="B36" s="11" t="s">
        <v>133</v>
      </c>
      <c r="C36" s="11" t="s">
        <v>172</v>
      </c>
      <c r="D36" s="11" t="s">
        <v>481</v>
      </c>
      <c r="E36" s="11">
        <v>1</v>
      </c>
    </row>
    <row r="37" spans="1:5" ht="24.75">
      <c r="A37" s="11" t="s">
        <v>237</v>
      </c>
      <c r="B37" s="11" t="s">
        <v>133</v>
      </c>
      <c r="C37" s="11" t="s">
        <v>172</v>
      </c>
      <c r="D37" s="11" t="s">
        <v>482</v>
      </c>
      <c r="E37" s="11">
        <v>1</v>
      </c>
    </row>
    <row r="38" spans="1:5" ht="24.75">
      <c r="A38" s="11" t="s">
        <v>237</v>
      </c>
      <c r="B38" s="11" t="s">
        <v>133</v>
      </c>
      <c r="C38" s="11" t="s">
        <v>172</v>
      </c>
      <c r="D38" s="11" t="s">
        <v>483</v>
      </c>
      <c r="E38" s="11">
        <v>1</v>
      </c>
    </row>
    <row r="39" spans="1:5" ht="24.75">
      <c r="A39" s="11" t="s">
        <v>237</v>
      </c>
      <c r="B39" s="11" t="s">
        <v>133</v>
      </c>
      <c r="C39" s="11" t="s">
        <v>172</v>
      </c>
      <c r="D39" s="11" t="s">
        <v>484</v>
      </c>
      <c r="E39" s="11">
        <v>1</v>
      </c>
    </row>
    <row r="40" spans="1:5" ht="24.75">
      <c r="A40" s="11" t="s">
        <v>237</v>
      </c>
      <c r="B40" s="11" t="s">
        <v>133</v>
      </c>
      <c r="C40" s="11" t="s">
        <v>172</v>
      </c>
      <c r="D40" s="11" t="s">
        <v>485</v>
      </c>
      <c r="E40" s="11">
        <v>1</v>
      </c>
    </row>
    <row r="41" spans="1:5" ht="24.75">
      <c r="A41" s="11" t="s">
        <v>237</v>
      </c>
      <c r="B41" s="11" t="s">
        <v>133</v>
      </c>
      <c r="C41" s="11" t="s">
        <v>172</v>
      </c>
      <c r="D41" s="11" t="s">
        <v>486</v>
      </c>
      <c r="E41" s="11">
        <v>1</v>
      </c>
    </row>
    <row r="42" spans="1:5">
      <c r="A42" s="1" t="s">
        <v>126</v>
      </c>
      <c r="B42" s="1" t="s">
        <v>126</v>
      </c>
      <c r="C42" s="1">
        <f>SUBTOTAL(103,Elements13882[Elemento])</f>
        <v>13</v>
      </c>
      <c r="D42" s="1" t="s">
        <v>126</v>
      </c>
      <c r="E42" s="1">
        <f>SUBTOTAL(109,Elements13882[Totais:])</f>
        <v>13</v>
      </c>
    </row>
  </sheetData>
  <mergeCells count="6">
    <mergeCell ref="A27:E27"/>
    <mergeCell ref="A1:E2"/>
    <mergeCell ref="A4:E4"/>
    <mergeCell ref="A5:E5"/>
    <mergeCell ref="A23:E24"/>
    <mergeCell ref="A26:E26"/>
  </mergeCells>
  <hyperlinks>
    <hyperlink ref="A1" location="'13.8.8'!A1" display="ESPELHO / PLACA CEGA 4” X 2”, PARA INSTALACAO DE TOMADAS E INTERRUPTORES" xr:uid="{00000000-0004-0000-2400-000000000000}"/>
    <hyperlink ref="B1" location="'13.8.8'!A1" display="ESPELHO / PLACA CEGA 4” X 2”, PARA INSTALACAO DE TOMADAS E INTERRUPTORES" xr:uid="{00000000-0004-0000-2400-000001000000}"/>
    <hyperlink ref="C1" location="'13.8.8'!A1" display="ESPELHO / PLACA CEGA 4” X 2”, PARA INSTALACAO DE TOMADAS E INTERRUPTORES" xr:uid="{00000000-0004-0000-2400-000002000000}"/>
    <hyperlink ref="D1" location="'13.8.8'!A1" display="ESPELHO / PLACA CEGA 4” X 2”, PARA INSTALACAO DE TOMADAS E INTERRUPTORES" xr:uid="{00000000-0004-0000-2400-000003000000}"/>
    <hyperlink ref="E1" location="'13.8.8'!A1" display="ESPELHO / PLACA CEGA 4” X 2”, PARA INSTALACAO DE TOMADAS E INTERRUPTORES" xr:uid="{00000000-0004-0000-2400-000004000000}"/>
    <hyperlink ref="A2" location="'13.8.8'!A1" display="ESPELHO / PLACA CEGA 4” X 2”, PARA INSTALACAO DE TOMADAS E INTERRUPTORES" xr:uid="{00000000-0004-0000-2400-000005000000}"/>
    <hyperlink ref="B2" location="'13.8.8'!A1" display="ESPELHO / PLACA CEGA 4” X 2”, PARA INSTALACAO DE TOMADAS E INTERRUPTORES" xr:uid="{00000000-0004-0000-2400-000006000000}"/>
    <hyperlink ref="C2" location="'13.8.8'!A1" display="ESPELHO / PLACA CEGA 4” X 2”, PARA INSTALACAO DE TOMADAS E INTERRUPTORES" xr:uid="{00000000-0004-0000-2400-000007000000}"/>
    <hyperlink ref="D2" location="'13.8.8'!A1" display="ESPELHO / PLACA CEGA 4” X 2”, PARA INSTALACAO DE TOMADAS E INTERRUPTORES" xr:uid="{00000000-0004-0000-2400-000008000000}"/>
    <hyperlink ref="E2" location="'13.8.8'!A1" display="ESPELHO / PLACA CEGA 4” X 2”, PARA INSTALACAO DE TOMADAS E INTERRUPTORES" xr:uid="{00000000-0004-0000-2400-000009000000}"/>
    <hyperlink ref="A4" location="'13.8.8'!A1" display="Conexões do conduite (240,0mm²_Fase B)" xr:uid="{00000000-0004-0000-2400-00000A000000}"/>
    <hyperlink ref="B4" location="'13.8.8'!A1" display="Conexões do conduite (240,0mm²_Fase B)" xr:uid="{00000000-0004-0000-2400-00000B000000}"/>
    <hyperlink ref="C4" location="'13.8.8'!A1" display="Conexões do conduite (240,0mm²_Fase B)" xr:uid="{00000000-0004-0000-2400-00000C000000}"/>
    <hyperlink ref="D4" location="'13.8.8'!A1" display="Conexões do conduite (240,0mm²_Fase B)" xr:uid="{00000000-0004-0000-2400-00000D000000}"/>
    <hyperlink ref="E4" location="'13.8.8'!A1" display="Conexões do conduite (240,0mm²_Fase B)" xr:uid="{00000000-0004-0000-2400-00000E000000}"/>
    <hyperlink ref="A23" location="'13.8.8'!A1" display="ESPELHO / PLACA CEGA 4” X 2”, PARA INSTALACAO DE TOMADAS E INTERRUPTORES" xr:uid="{00000000-0004-0000-2400-00000F000000}"/>
    <hyperlink ref="B23" location="'13.8.8'!A1" display="ESPELHO / PLACA CEGA 4” X 2”, PARA INSTALACAO DE TOMADAS E INTERRUPTORES" xr:uid="{00000000-0004-0000-2400-000010000000}"/>
    <hyperlink ref="C23" location="'13.8.8'!A1" display="ESPELHO / PLACA CEGA 4” X 2”, PARA INSTALACAO DE TOMADAS E INTERRUPTORES" xr:uid="{00000000-0004-0000-2400-000011000000}"/>
    <hyperlink ref="D23" location="'13.8.8'!A1" display="ESPELHO / PLACA CEGA 4” X 2”, PARA INSTALACAO DE TOMADAS E INTERRUPTORES" xr:uid="{00000000-0004-0000-2400-000012000000}"/>
    <hyperlink ref="E23" location="'13.8.8'!A1" display="ESPELHO / PLACA CEGA 4” X 2”, PARA INSTALACAO DE TOMADAS E INTERRUPTORES" xr:uid="{00000000-0004-0000-2400-000013000000}"/>
    <hyperlink ref="A24" location="'13.8.8'!A1" display="ESPELHO / PLACA CEGA 4” X 2”, PARA INSTALACAO DE TOMADAS E INTERRUPTORES" xr:uid="{00000000-0004-0000-2400-000014000000}"/>
    <hyperlink ref="B24" location="'13.8.8'!A1" display="ESPELHO / PLACA CEGA 4” X 2”, PARA INSTALACAO DE TOMADAS E INTERRUPTORES" xr:uid="{00000000-0004-0000-2400-000015000000}"/>
    <hyperlink ref="C24" location="'13.8.8'!A1" display="ESPELHO / PLACA CEGA 4” X 2”, PARA INSTALACAO DE TOMADAS E INTERRUPTORES" xr:uid="{00000000-0004-0000-2400-000016000000}"/>
    <hyperlink ref="D24" location="'13.8.8'!A1" display="ESPELHO / PLACA CEGA 4” X 2”, PARA INSTALACAO DE TOMADAS E INTERRUPTORES" xr:uid="{00000000-0004-0000-2400-000017000000}"/>
    <hyperlink ref="E24" location="'13.8.8'!A1" display="ESPELHO / PLACA CEGA 4” X 2”, PARA INSTALACAO DE TOMADAS E INTERRUPTORES" xr:uid="{00000000-0004-0000-2400-000018000000}"/>
    <hyperlink ref="A26" location="'13.8.8'!A1" display="Conexões do conduite (240,0mm²_Fase B)" xr:uid="{00000000-0004-0000-2400-000019000000}"/>
    <hyperlink ref="B26" location="'13.8.8'!A1" display="Conexões do conduite (240,0mm²_Fase B)" xr:uid="{00000000-0004-0000-2400-00001A000000}"/>
    <hyperlink ref="C26" location="'13.8.8'!A1" display="Conexões do conduite (240,0mm²_Fase B)" xr:uid="{00000000-0004-0000-2400-00001B000000}"/>
    <hyperlink ref="D26" location="'13.8.8'!A1" display="Conexões do conduite (240,0mm²_Fase B)" xr:uid="{00000000-0004-0000-2400-00001C000000}"/>
    <hyperlink ref="E26" location="'13.8.8'!A1" display="Conexões do conduite (240,0mm²_Fase B)" xr:uid="{00000000-0004-0000-2400-00001D000000}"/>
  </hyperlinks>
  <pageMargins left="0.511811024" right="0.511811024" top="0.78740157499999996" bottom="0.78740157499999996" header="0.31496062000000002" footer="0.31496062000000002"/>
  <tableParts count="2">
    <tablePart r:id="rId1"/>
    <tablePart r:id="rId2"/>
  </tableParts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E191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50</v>
      </c>
      <c r="B1" s="23" t="s">
        <v>50</v>
      </c>
      <c r="C1" s="23" t="s">
        <v>50</v>
      </c>
      <c r="D1" s="23" t="s">
        <v>50</v>
      </c>
      <c r="E1" s="23" t="s">
        <v>50</v>
      </c>
    </row>
    <row r="2" spans="1:5">
      <c r="A2" s="23" t="s">
        <v>50</v>
      </c>
      <c r="B2" s="23" t="s">
        <v>50</v>
      </c>
      <c r="C2" s="23" t="s">
        <v>50</v>
      </c>
      <c r="D2" s="23" t="s">
        <v>50</v>
      </c>
      <c r="E2" s="23" t="s">
        <v>50</v>
      </c>
    </row>
    <row r="4" spans="1:5">
      <c r="A4" s="18" t="s">
        <v>152</v>
      </c>
      <c r="B4" s="18" t="s">
        <v>152</v>
      </c>
      <c r="C4" s="18" t="s">
        <v>152</v>
      </c>
      <c r="D4" s="18" t="s">
        <v>152</v>
      </c>
      <c r="E4" s="18" t="s">
        <v>152</v>
      </c>
    </row>
    <row r="5" spans="1:5">
      <c r="A5" s="24" t="s">
        <v>153</v>
      </c>
      <c r="B5" s="24" t="s">
        <v>153</v>
      </c>
      <c r="C5" s="24" t="s">
        <v>153</v>
      </c>
      <c r="D5" s="24" t="s">
        <v>153</v>
      </c>
      <c r="E5" s="24" t="s">
        <v>153</v>
      </c>
    </row>
    <row r="6" spans="1:5">
      <c r="A6" s="10" t="s">
        <v>232</v>
      </c>
      <c r="B6" s="10" t="s">
        <v>233</v>
      </c>
      <c r="C6" s="10" t="s">
        <v>234</v>
      </c>
      <c r="D6" s="10" t="s">
        <v>235</v>
      </c>
      <c r="E6" s="10" t="s">
        <v>236</v>
      </c>
    </row>
    <row r="7" spans="1:5" ht="24.75">
      <c r="A7" s="11" t="s">
        <v>237</v>
      </c>
      <c r="B7" s="11" t="s">
        <v>133</v>
      </c>
      <c r="C7" s="11" t="s">
        <v>155</v>
      </c>
      <c r="D7" s="11" t="s">
        <v>487</v>
      </c>
      <c r="E7" s="11">
        <v>9.9687991695566645</v>
      </c>
    </row>
    <row r="8" spans="1:5" ht="24.75">
      <c r="A8" s="11" t="s">
        <v>237</v>
      </c>
      <c r="B8" s="11" t="s">
        <v>133</v>
      </c>
      <c r="C8" s="11" t="s">
        <v>155</v>
      </c>
      <c r="D8" s="11" t="s">
        <v>488</v>
      </c>
      <c r="E8" s="11">
        <v>0.16900000025688505</v>
      </c>
    </row>
    <row r="9" spans="1:5" ht="24.75">
      <c r="A9" s="11" t="s">
        <v>237</v>
      </c>
      <c r="B9" s="11" t="s">
        <v>133</v>
      </c>
      <c r="C9" s="11" t="s">
        <v>155</v>
      </c>
      <c r="D9" s="11" t="s">
        <v>489</v>
      </c>
      <c r="E9" s="11">
        <v>2.458950003737574</v>
      </c>
    </row>
    <row r="10" spans="1:5" ht="24.75">
      <c r="A10" s="11" t="s">
        <v>237</v>
      </c>
      <c r="B10" s="11" t="s">
        <v>133</v>
      </c>
      <c r="C10" s="11" t="s">
        <v>155</v>
      </c>
      <c r="D10" s="11" t="s">
        <v>490</v>
      </c>
      <c r="E10" s="11">
        <v>0.88400000134368506</v>
      </c>
    </row>
    <row r="11" spans="1:5" ht="24.75">
      <c r="A11" s="11" t="s">
        <v>237</v>
      </c>
      <c r="B11" s="11" t="s">
        <v>133</v>
      </c>
      <c r="C11" s="11" t="s">
        <v>155</v>
      </c>
      <c r="D11" s="11" t="s">
        <v>491</v>
      </c>
      <c r="E11" s="11">
        <v>0.88400000134368306</v>
      </c>
    </row>
    <row r="12" spans="1:5" ht="24.75">
      <c r="A12" s="11" t="s">
        <v>237</v>
      </c>
      <c r="B12" s="11" t="s">
        <v>133</v>
      </c>
      <c r="C12" s="11" t="s">
        <v>155</v>
      </c>
      <c r="D12" s="11" t="s">
        <v>492</v>
      </c>
      <c r="E12" s="11">
        <v>5.5593571757136431</v>
      </c>
    </row>
    <row r="13" spans="1:5" ht="24.75">
      <c r="A13" s="11" t="s">
        <v>237</v>
      </c>
      <c r="B13" s="11" t="s">
        <v>133</v>
      </c>
      <c r="C13" s="11" t="s">
        <v>155</v>
      </c>
      <c r="D13" s="11" t="s">
        <v>493</v>
      </c>
      <c r="E13" s="11">
        <v>0.77467000117750751</v>
      </c>
    </row>
    <row r="14" spans="1:5" ht="24.75">
      <c r="A14" s="11" t="s">
        <v>237</v>
      </c>
      <c r="B14" s="11" t="s">
        <v>133</v>
      </c>
      <c r="C14" s="11" t="s">
        <v>155</v>
      </c>
      <c r="D14" s="11" t="s">
        <v>494</v>
      </c>
      <c r="E14" s="11">
        <v>1.3001886347476668</v>
      </c>
    </row>
    <row r="15" spans="1:5" ht="24.75">
      <c r="A15" s="11" t="s">
        <v>237</v>
      </c>
      <c r="B15" s="11" t="s">
        <v>133</v>
      </c>
      <c r="C15" s="11" t="s">
        <v>155</v>
      </c>
      <c r="D15" s="11" t="s">
        <v>495</v>
      </c>
      <c r="E15" s="11">
        <v>0.67929404420086492</v>
      </c>
    </row>
    <row r="16" spans="1:5" ht="24.75">
      <c r="A16" s="11" t="s">
        <v>237</v>
      </c>
      <c r="B16" s="11" t="s">
        <v>133</v>
      </c>
      <c r="C16" s="11" t="s">
        <v>155</v>
      </c>
      <c r="D16" s="11" t="s">
        <v>496</v>
      </c>
      <c r="E16" s="11">
        <v>3.3379450050736668</v>
      </c>
    </row>
    <row r="17" spans="1:5" ht="24.75">
      <c r="A17" s="11" t="s">
        <v>237</v>
      </c>
      <c r="B17" s="11" t="s">
        <v>133</v>
      </c>
      <c r="C17" s="11" t="s">
        <v>155</v>
      </c>
      <c r="D17" s="11" t="s">
        <v>497</v>
      </c>
      <c r="E17" s="11">
        <v>9.0453067959363871</v>
      </c>
    </row>
    <row r="18" spans="1:5" ht="24.75">
      <c r="A18" s="11" t="s">
        <v>237</v>
      </c>
      <c r="B18" s="11" t="s">
        <v>133</v>
      </c>
      <c r="C18" s="11" t="s">
        <v>155</v>
      </c>
      <c r="D18" s="11" t="s">
        <v>498</v>
      </c>
      <c r="E18" s="11">
        <v>3.4381750052260163</v>
      </c>
    </row>
    <row r="19" spans="1:5" ht="24.75">
      <c r="A19" s="11" t="s">
        <v>237</v>
      </c>
      <c r="B19" s="11" t="s">
        <v>133</v>
      </c>
      <c r="C19" s="11" t="s">
        <v>155</v>
      </c>
      <c r="D19" s="11" t="s">
        <v>499</v>
      </c>
      <c r="E19" s="11">
        <v>4.1306908903452308</v>
      </c>
    </row>
    <row r="20" spans="1:5" ht="24.75">
      <c r="A20" s="11" t="s">
        <v>237</v>
      </c>
      <c r="B20" s="11" t="s">
        <v>133</v>
      </c>
      <c r="C20" s="11" t="s">
        <v>155</v>
      </c>
      <c r="D20" s="11" t="s">
        <v>500</v>
      </c>
      <c r="E20" s="11">
        <v>3.4029450051724668</v>
      </c>
    </row>
    <row r="21" spans="1:5" ht="24.75">
      <c r="A21" s="11" t="s">
        <v>237</v>
      </c>
      <c r="B21" s="11" t="s">
        <v>133</v>
      </c>
      <c r="C21" s="11" t="s">
        <v>155</v>
      </c>
      <c r="D21" s="11" t="s">
        <v>501</v>
      </c>
      <c r="E21" s="11">
        <v>0.8251844507238294</v>
      </c>
    </row>
    <row r="22" spans="1:5" ht="24.75">
      <c r="A22" s="11" t="s">
        <v>237</v>
      </c>
      <c r="B22" s="11" t="s">
        <v>133</v>
      </c>
      <c r="C22" s="11" t="s">
        <v>155</v>
      </c>
      <c r="D22" s="11" t="s">
        <v>502</v>
      </c>
      <c r="E22" s="11">
        <v>1.2107663820965551</v>
      </c>
    </row>
    <row r="23" spans="1:5" ht="24.75">
      <c r="A23" s="11" t="s">
        <v>237</v>
      </c>
      <c r="B23" s="11" t="s">
        <v>133</v>
      </c>
      <c r="C23" s="11" t="s">
        <v>155</v>
      </c>
      <c r="D23" s="11" t="s">
        <v>503</v>
      </c>
      <c r="E23" s="11">
        <v>3.3987850051661437</v>
      </c>
    </row>
    <row r="24" spans="1:5" ht="24.75">
      <c r="A24" s="11" t="s">
        <v>237</v>
      </c>
      <c r="B24" s="11" t="s">
        <v>133</v>
      </c>
      <c r="C24" s="11" t="s">
        <v>155</v>
      </c>
      <c r="D24" s="11" t="s">
        <v>504</v>
      </c>
      <c r="E24" s="11">
        <v>1.1260920825091799E-2</v>
      </c>
    </row>
    <row r="25" spans="1:5" ht="24.75">
      <c r="A25" s="11" t="s">
        <v>237</v>
      </c>
      <c r="B25" s="11" t="s">
        <v>133</v>
      </c>
      <c r="C25" s="11" t="s">
        <v>155</v>
      </c>
      <c r="D25" s="11" t="s">
        <v>505</v>
      </c>
      <c r="E25" s="11">
        <v>4.6731125096384813</v>
      </c>
    </row>
    <row r="26" spans="1:5" ht="24.75">
      <c r="A26" s="11" t="s">
        <v>237</v>
      </c>
      <c r="B26" s="11" t="s">
        <v>133</v>
      </c>
      <c r="C26" s="11" t="s">
        <v>155</v>
      </c>
      <c r="D26" s="11" t="s">
        <v>506</v>
      </c>
      <c r="E26" s="11">
        <v>0.86553036388989124</v>
      </c>
    </row>
    <row r="27" spans="1:5" ht="24.75">
      <c r="A27" s="11" t="s">
        <v>237</v>
      </c>
      <c r="B27" s="11" t="s">
        <v>133</v>
      </c>
      <c r="C27" s="11" t="s">
        <v>155</v>
      </c>
      <c r="D27" s="11" t="s">
        <v>507</v>
      </c>
      <c r="E27" s="11">
        <v>2.3939500036387744</v>
      </c>
    </row>
    <row r="28" spans="1:5" ht="24.75">
      <c r="A28" s="11" t="s">
        <v>237</v>
      </c>
      <c r="B28" s="11" t="s">
        <v>133</v>
      </c>
      <c r="C28" s="11" t="s">
        <v>155</v>
      </c>
      <c r="D28" s="11" t="s">
        <v>508</v>
      </c>
      <c r="E28" s="11">
        <v>0.85977484168204588</v>
      </c>
    </row>
    <row r="29" spans="1:5" ht="24.75">
      <c r="A29" s="11" t="s">
        <v>237</v>
      </c>
      <c r="B29" s="11" t="s">
        <v>133</v>
      </c>
      <c r="C29" s="11" t="s">
        <v>155</v>
      </c>
      <c r="D29" s="11" t="s">
        <v>509</v>
      </c>
      <c r="E29" s="11">
        <v>2.3939500036387744</v>
      </c>
    </row>
    <row r="30" spans="1:5" ht="24.75">
      <c r="A30" s="11" t="s">
        <v>237</v>
      </c>
      <c r="B30" s="11" t="s">
        <v>133</v>
      </c>
      <c r="C30" s="11" t="s">
        <v>155</v>
      </c>
      <c r="D30" s="11" t="s">
        <v>510</v>
      </c>
      <c r="E30" s="11">
        <v>0.1639395415466911</v>
      </c>
    </row>
    <row r="31" spans="1:5" ht="24.75">
      <c r="A31" s="11" t="s">
        <v>237</v>
      </c>
      <c r="B31" s="11" t="s">
        <v>133</v>
      </c>
      <c r="C31" s="11" t="s">
        <v>155</v>
      </c>
      <c r="D31" s="11" t="s">
        <v>511</v>
      </c>
      <c r="E31" s="11">
        <v>0.72936960132515982</v>
      </c>
    </row>
    <row r="32" spans="1:5" ht="24.75">
      <c r="A32" s="11" t="s">
        <v>237</v>
      </c>
      <c r="B32" s="11" t="s">
        <v>133</v>
      </c>
      <c r="C32" s="11" t="s">
        <v>155</v>
      </c>
      <c r="D32" s="11" t="s">
        <v>512</v>
      </c>
      <c r="E32" s="11">
        <v>0.16100863247310812</v>
      </c>
    </row>
    <row r="33" spans="1:5" ht="24.75">
      <c r="A33" s="11" t="s">
        <v>237</v>
      </c>
      <c r="B33" s="11" t="s">
        <v>133</v>
      </c>
      <c r="C33" s="11" t="s">
        <v>155</v>
      </c>
      <c r="D33" s="11" t="s">
        <v>513</v>
      </c>
      <c r="E33" s="11">
        <v>0.72936960132465101</v>
      </c>
    </row>
    <row r="34" spans="1:5" ht="24.75">
      <c r="A34" s="11" t="s">
        <v>237</v>
      </c>
      <c r="B34" s="11" t="s">
        <v>133</v>
      </c>
      <c r="C34" s="11" t="s">
        <v>155</v>
      </c>
      <c r="D34" s="11" t="s">
        <v>514</v>
      </c>
      <c r="E34" s="11">
        <v>0.16393954154668014</v>
      </c>
    </row>
    <row r="35" spans="1:5" ht="24.75">
      <c r="A35" s="11" t="s">
        <v>237</v>
      </c>
      <c r="B35" s="11" t="s">
        <v>133</v>
      </c>
      <c r="C35" s="11" t="s">
        <v>155</v>
      </c>
      <c r="D35" s="11" t="s">
        <v>515</v>
      </c>
      <c r="E35" s="11">
        <v>0.1639496674919165</v>
      </c>
    </row>
    <row r="36" spans="1:5" ht="24.75">
      <c r="A36" s="11" t="s">
        <v>237</v>
      </c>
      <c r="B36" s="11" t="s">
        <v>133</v>
      </c>
      <c r="C36" s="11" t="s">
        <v>155</v>
      </c>
      <c r="D36" s="11" t="s">
        <v>516</v>
      </c>
      <c r="E36" s="11">
        <v>0.68370678498181636</v>
      </c>
    </row>
    <row r="37" spans="1:5" ht="24.75">
      <c r="A37" s="11" t="s">
        <v>237</v>
      </c>
      <c r="B37" s="11" t="s">
        <v>133</v>
      </c>
      <c r="C37" s="11" t="s">
        <v>155</v>
      </c>
      <c r="D37" s="11" t="s">
        <v>517</v>
      </c>
      <c r="E37" s="11">
        <v>0.16394469992742297</v>
      </c>
    </row>
    <row r="38" spans="1:5" ht="24.75">
      <c r="A38" s="11" t="s">
        <v>237</v>
      </c>
      <c r="B38" s="11" t="s">
        <v>133</v>
      </c>
      <c r="C38" s="11" t="s">
        <v>155</v>
      </c>
      <c r="D38" s="11" t="s">
        <v>518</v>
      </c>
      <c r="E38" s="11">
        <v>0.15294500023247742</v>
      </c>
    </row>
    <row r="39" spans="1:5" ht="24.75">
      <c r="A39" s="11" t="s">
        <v>237</v>
      </c>
      <c r="B39" s="11" t="s">
        <v>133</v>
      </c>
      <c r="C39" s="11" t="s">
        <v>155</v>
      </c>
      <c r="D39" s="11" t="s">
        <v>519</v>
      </c>
      <c r="E39" s="11">
        <v>0.16053205081009073</v>
      </c>
    </row>
    <row r="40" spans="1:5" ht="24.75">
      <c r="A40" s="11" t="s">
        <v>237</v>
      </c>
      <c r="B40" s="11" t="s">
        <v>133</v>
      </c>
      <c r="C40" s="11" t="s">
        <v>155</v>
      </c>
      <c r="D40" s="11" t="s">
        <v>520</v>
      </c>
      <c r="E40" s="11">
        <v>8.6450000131333502E-3</v>
      </c>
    </row>
    <row r="41" spans="1:5" ht="24.75">
      <c r="A41" s="11" t="s">
        <v>237</v>
      </c>
      <c r="B41" s="11" t="s">
        <v>133</v>
      </c>
      <c r="C41" s="11" t="s">
        <v>155</v>
      </c>
      <c r="D41" s="11" t="s">
        <v>521</v>
      </c>
      <c r="E41" s="11">
        <v>2.2188069976502272</v>
      </c>
    </row>
    <row r="42" spans="1:5" ht="24.75">
      <c r="A42" s="11" t="s">
        <v>237</v>
      </c>
      <c r="B42" s="11" t="s">
        <v>133</v>
      </c>
      <c r="C42" s="11" t="s">
        <v>155</v>
      </c>
      <c r="D42" s="11" t="s">
        <v>522</v>
      </c>
      <c r="E42" s="11">
        <v>1.5820620375580343</v>
      </c>
    </row>
    <row r="43" spans="1:5" ht="24.75">
      <c r="A43" s="11" t="s">
        <v>237</v>
      </c>
      <c r="B43" s="11" t="s">
        <v>133</v>
      </c>
      <c r="C43" s="11" t="s">
        <v>155</v>
      </c>
      <c r="D43" s="11" t="s">
        <v>523</v>
      </c>
      <c r="E43" s="11">
        <v>0.81789500124318859</v>
      </c>
    </row>
    <row r="44" spans="1:5" ht="24.75">
      <c r="A44" s="11" t="s">
        <v>237</v>
      </c>
      <c r="B44" s="11" t="s">
        <v>133</v>
      </c>
      <c r="C44" s="11" t="s">
        <v>155</v>
      </c>
      <c r="D44" s="11" t="s">
        <v>524</v>
      </c>
      <c r="E44" s="11">
        <v>0.16553711050890943</v>
      </c>
    </row>
    <row r="45" spans="1:5" ht="24.75">
      <c r="A45" s="11" t="s">
        <v>237</v>
      </c>
      <c r="B45" s="11" t="s">
        <v>133</v>
      </c>
      <c r="C45" s="11" t="s">
        <v>155</v>
      </c>
      <c r="D45" s="11" t="s">
        <v>525</v>
      </c>
      <c r="E45" s="11">
        <v>0.13042778399861124</v>
      </c>
    </row>
    <row r="46" spans="1:5" ht="24.75">
      <c r="A46" s="11" t="s">
        <v>237</v>
      </c>
      <c r="B46" s="11" t="s">
        <v>133</v>
      </c>
      <c r="C46" s="11" t="s">
        <v>155</v>
      </c>
      <c r="D46" s="11" t="s">
        <v>526</v>
      </c>
      <c r="E46" s="11">
        <v>0.71494814372387916</v>
      </c>
    </row>
    <row r="47" spans="1:5" ht="24.75">
      <c r="A47" s="11" t="s">
        <v>237</v>
      </c>
      <c r="B47" s="11" t="s">
        <v>133</v>
      </c>
      <c r="C47" s="11" t="s">
        <v>155</v>
      </c>
      <c r="D47" s="11" t="s">
        <v>527</v>
      </c>
      <c r="E47" s="11">
        <v>3.0804820650200528</v>
      </c>
    </row>
    <row r="48" spans="1:5" ht="24.75">
      <c r="A48" s="11" t="s">
        <v>237</v>
      </c>
      <c r="B48" s="11" t="s">
        <v>133</v>
      </c>
      <c r="C48" s="11" t="s">
        <v>155</v>
      </c>
      <c r="D48" s="11" t="s">
        <v>528</v>
      </c>
      <c r="E48" s="11">
        <v>1.7682438396672306</v>
      </c>
    </row>
    <row r="49" spans="1:5" ht="24.75">
      <c r="A49" s="11" t="s">
        <v>237</v>
      </c>
      <c r="B49" s="11" t="s">
        <v>133</v>
      </c>
      <c r="C49" s="11" t="s">
        <v>155</v>
      </c>
      <c r="D49" s="11" t="s">
        <v>529</v>
      </c>
      <c r="E49" s="11">
        <v>1.4438417040740097</v>
      </c>
    </row>
    <row r="50" spans="1:5" ht="24.75">
      <c r="A50" s="11" t="s">
        <v>237</v>
      </c>
      <c r="B50" s="11" t="s">
        <v>133</v>
      </c>
      <c r="C50" s="11" t="s">
        <v>155</v>
      </c>
      <c r="D50" s="11" t="s">
        <v>530</v>
      </c>
      <c r="E50" s="11">
        <v>0.41325501153908062</v>
      </c>
    </row>
    <row r="51" spans="1:5" ht="24.75">
      <c r="A51" s="11" t="s">
        <v>237</v>
      </c>
      <c r="B51" s="11" t="s">
        <v>133</v>
      </c>
      <c r="C51" s="11" t="s">
        <v>155</v>
      </c>
      <c r="D51" s="11" t="s">
        <v>531</v>
      </c>
      <c r="E51" s="11">
        <v>0.86307363354018696</v>
      </c>
    </row>
    <row r="52" spans="1:5" ht="24.75">
      <c r="A52" s="11" t="s">
        <v>237</v>
      </c>
      <c r="B52" s="11" t="s">
        <v>133</v>
      </c>
      <c r="C52" s="11" t="s">
        <v>155</v>
      </c>
      <c r="D52" s="11" t="s">
        <v>532</v>
      </c>
      <c r="E52" s="11">
        <v>9.1954223147844232</v>
      </c>
    </row>
    <row r="53" spans="1:5" ht="24.75">
      <c r="A53" s="11" t="s">
        <v>237</v>
      </c>
      <c r="B53" s="11" t="s">
        <v>133</v>
      </c>
      <c r="C53" s="11" t="s">
        <v>155</v>
      </c>
      <c r="D53" s="11" t="s">
        <v>533</v>
      </c>
      <c r="E53" s="11">
        <v>2.2847147818334963</v>
      </c>
    </row>
    <row r="54" spans="1:5" ht="24.75">
      <c r="A54" s="11" t="s">
        <v>237</v>
      </c>
      <c r="B54" s="11" t="s">
        <v>133</v>
      </c>
      <c r="C54" s="11" t="s">
        <v>155</v>
      </c>
      <c r="D54" s="11" t="s">
        <v>534</v>
      </c>
      <c r="E54" s="11">
        <v>0.88534613933337225</v>
      </c>
    </row>
    <row r="55" spans="1:5" ht="24.75">
      <c r="A55" s="11" t="s">
        <v>237</v>
      </c>
      <c r="B55" s="11" t="s">
        <v>133</v>
      </c>
      <c r="C55" s="11" t="s">
        <v>155</v>
      </c>
      <c r="D55" s="11" t="s">
        <v>535</v>
      </c>
      <c r="E55" s="11">
        <v>0.88534613933337436</v>
      </c>
    </row>
    <row r="56" spans="1:5" ht="24.75">
      <c r="A56" s="11" t="s">
        <v>237</v>
      </c>
      <c r="B56" s="11" t="s">
        <v>133</v>
      </c>
      <c r="C56" s="11" t="s">
        <v>155</v>
      </c>
      <c r="D56" s="11" t="s">
        <v>536</v>
      </c>
      <c r="E56" s="11">
        <v>0.88534613933336914</v>
      </c>
    </row>
    <row r="57" spans="1:5" ht="24.75">
      <c r="A57" s="11" t="s">
        <v>237</v>
      </c>
      <c r="B57" s="11" t="s">
        <v>133</v>
      </c>
      <c r="C57" s="11" t="s">
        <v>155</v>
      </c>
      <c r="D57" s="11" t="s">
        <v>537</v>
      </c>
      <c r="E57" s="11">
        <v>0.63767949173191074</v>
      </c>
    </row>
    <row r="58" spans="1:5" ht="24.75">
      <c r="A58" s="11" t="s">
        <v>237</v>
      </c>
      <c r="B58" s="11" t="s">
        <v>133</v>
      </c>
      <c r="C58" s="11" t="s">
        <v>155</v>
      </c>
      <c r="D58" s="11" t="s">
        <v>538</v>
      </c>
      <c r="E58" s="11">
        <v>8.1250823294605539</v>
      </c>
    </row>
    <row r="59" spans="1:5" ht="24.75">
      <c r="A59" s="11" t="s">
        <v>237</v>
      </c>
      <c r="B59" s="11" t="s">
        <v>133</v>
      </c>
      <c r="C59" s="11" t="s">
        <v>155</v>
      </c>
      <c r="D59" s="11" t="s">
        <v>539</v>
      </c>
      <c r="E59" s="11">
        <v>0.61121851960347429</v>
      </c>
    </row>
    <row r="60" spans="1:5" ht="24.75">
      <c r="A60" s="11" t="s">
        <v>237</v>
      </c>
      <c r="B60" s="11" t="s">
        <v>133</v>
      </c>
      <c r="C60" s="11" t="s">
        <v>155</v>
      </c>
      <c r="D60" s="11" t="s">
        <v>540</v>
      </c>
      <c r="E60" s="11">
        <v>1.8541704200485691</v>
      </c>
    </row>
    <row r="61" spans="1:5" ht="24.75">
      <c r="A61" s="11" t="s">
        <v>237</v>
      </c>
      <c r="B61" s="11" t="s">
        <v>133</v>
      </c>
      <c r="C61" s="11" t="s">
        <v>155</v>
      </c>
      <c r="D61" s="11" t="s">
        <v>541</v>
      </c>
      <c r="E61" s="11">
        <v>10.750514645283882</v>
      </c>
    </row>
    <row r="62" spans="1:5" ht="24.75">
      <c r="A62" s="11" t="s">
        <v>237</v>
      </c>
      <c r="B62" s="11" t="s">
        <v>133</v>
      </c>
      <c r="C62" s="11" t="s">
        <v>155</v>
      </c>
      <c r="D62" s="11" t="s">
        <v>542</v>
      </c>
      <c r="E62" s="11">
        <v>0.16900000025685702</v>
      </c>
    </row>
    <row r="63" spans="1:5" ht="24.75">
      <c r="A63" s="11" t="s">
        <v>237</v>
      </c>
      <c r="B63" s="11" t="s">
        <v>133</v>
      </c>
      <c r="C63" s="11" t="s">
        <v>155</v>
      </c>
      <c r="D63" s="11" t="s">
        <v>543</v>
      </c>
      <c r="E63" s="11">
        <v>0.7337200011152365</v>
      </c>
    </row>
    <row r="64" spans="1:5" ht="24.75">
      <c r="A64" s="11" t="s">
        <v>237</v>
      </c>
      <c r="B64" s="11" t="s">
        <v>133</v>
      </c>
      <c r="C64" s="11" t="s">
        <v>155</v>
      </c>
      <c r="D64" s="11" t="s">
        <v>544</v>
      </c>
      <c r="E64" s="11">
        <v>2.458950003737574</v>
      </c>
    </row>
    <row r="65" spans="1:5" ht="24.75">
      <c r="A65" s="11" t="s">
        <v>237</v>
      </c>
      <c r="B65" s="11" t="s">
        <v>133</v>
      </c>
      <c r="C65" s="11" t="s">
        <v>155</v>
      </c>
      <c r="D65" s="11" t="s">
        <v>545</v>
      </c>
      <c r="E65" s="11">
        <v>1.174345251821425</v>
      </c>
    </row>
    <row r="66" spans="1:5" ht="24.75">
      <c r="A66" s="11" t="s">
        <v>237</v>
      </c>
      <c r="B66" s="11" t="s">
        <v>133</v>
      </c>
      <c r="C66" s="11" t="s">
        <v>155</v>
      </c>
      <c r="D66" s="11" t="s">
        <v>546</v>
      </c>
      <c r="E66" s="11">
        <v>9.092869220630682</v>
      </c>
    </row>
    <row r="67" spans="1:5" ht="24.75">
      <c r="A67" s="11" t="s">
        <v>237</v>
      </c>
      <c r="B67" s="11" t="s">
        <v>133</v>
      </c>
      <c r="C67" s="11" t="s">
        <v>155</v>
      </c>
      <c r="D67" s="11" t="s">
        <v>547</v>
      </c>
      <c r="E67" s="11">
        <v>9.256023484372547E-2</v>
      </c>
    </row>
    <row r="68" spans="1:5" ht="24.75">
      <c r="A68" s="11" t="s">
        <v>237</v>
      </c>
      <c r="B68" s="11" t="s">
        <v>133</v>
      </c>
      <c r="C68" s="11" t="s">
        <v>155</v>
      </c>
      <c r="D68" s="11" t="s">
        <v>548</v>
      </c>
      <c r="E68" s="11">
        <v>6.1315385333031784</v>
      </c>
    </row>
    <row r="69" spans="1:5" ht="24.75">
      <c r="A69" s="11" t="s">
        <v>237</v>
      </c>
      <c r="B69" s="11" t="s">
        <v>133</v>
      </c>
      <c r="C69" s="11" t="s">
        <v>155</v>
      </c>
      <c r="D69" s="11" t="s">
        <v>549</v>
      </c>
      <c r="E69" s="11">
        <v>1.2743607190187383</v>
      </c>
    </row>
    <row r="70" spans="1:5" ht="24.75">
      <c r="A70" s="11" t="s">
        <v>237</v>
      </c>
      <c r="B70" s="11" t="s">
        <v>133</v>
      </c>
      <c r="C70" s="11" t="s">
        <v>155</v>
      </c>
      <c r="D70" s="11" t="s">
        <v>550</v>
      </c>
      <c r="E70" s="11">
        <v>9.2560000140692614E-2</v>
      </c>
    </row>
    <row r="71" spans="1:5" ht="24.75">
      <c r="A71" s="11" t="s">
        <v>237</v>
      </c>
      <c r="B71" s="11" t="s">
        <v>133</v>
      </c>
      <c r="C71" s="11" t="s">
        <v>155</v>
      </c>
      <c r="D71" s="11" t="s">
        <v>551</v>
      </c>
      <c r="E71" s="11">
        <v>5.7452290453061785</v>
      </c>
    </row>
    <row r="72" spans="1:5" ht="24.75">
      <c r="A72" s="11" t="s">
        <v>237</v>
      </c>
      <c r="B72" s="11" t="s">
        <v>133</v>
      </c>
      <c r="C72" s="11" t="s">
        <v>155</v>
      </c>
      <c r="D72" s="11" t="s">
        <v>552</v>
      </c>
      <c r="E72" s="11">
        <v>0.16637112321224012</v>
      </c>
    </row>
    <row r="73" spans="1:5" ht="24.75">
      <c r="A73" s="11" t="s">
        <v>237</v>
      </c>
      <c r="B73" s="11" t="s">
        <v>133</v>
      </c>
      <c r="C73" s="11" t="s">
        <v>155</v>
      </c>
      <c r="D73" s="11" t="s">
        <v>553</v>
      </c>
      <c r="E73" s="11">
        <v>4.7512334403466356</v>
      </c>
    </row>
    <row r="74" spans="1:5" ht="24.75">
      <c r="A74" s="11" t="s">
        <v>237</v>
      </c>
      <c r="B74" s="11" t="s">
        <v>133</v>
      </c>
      <c r="C74" s="11" t="s">
        <v>155</v>
      </c>
      <c r="D74" s="11" t="s">
        <v>554</v>
      </c>
      <c r="E74" s="11">
        <v>0.58593215598722292</v>
      </c>
    </row>
    <row r="75" spans="1:5" ht="24.75">
      <c r="A75" s="11" t="s">
        <v>237</v>
      </c>
      <c r="B75" s="11" t="s">
        <v>133</v>
      </c>
      <c r="C75" s="11" t="s">
        <v>155</v>
      </c>
      <c r="D75" s="11" t="s">
        <v>555</v>
      </c>
      <c r="E75" s="11">
        <v>0.22547184320618421</v>
      </c>
    </row>
    <row r="76" spans="1:5" ht="24.75">
      <c r="A76" s="11" t="s">
        <v>237</v>
      </c>
      <c r="B76" s="11" t="s">
        <v>133</v>
      </c>
      <c r="C76" s="11" t="s">
        <v>155</v>
      </c>
      <c r="D76" s="11" t="s">
        <v>556</v>
      </c>
      <c r="E76" s="11">
        <v>6.7672596732362047</v>
      </c>
    </row>
    <row r="77" spans="1:5" ht="24.75">
      <c r="A77" s="11" t="s">
        <v>237</v>
      </c>
      <c r="B77" s="11" t="s">
        <v>133</v>
      </c>
      <c r="C77" s="11" t="s">
        <v>155</v>
      </c>
      <c r="D77" s="11" t="s">
        <v>557</v>
      </c>
      <c r="E77" s="11">
        <v>0.8365594222356334</v>
      </c>
    </row>
    <row r="78" spans="1:5" ht="24.75">
      <c r="A78" s="11" t="s">
        <v>237</v>
      </c>
      <c r="B78" s="11" t="s">
        <v>133</v>
      </c>
      <c r="C78" s="11" t="s">
        <v>155</v>
      </c>
      <c r="D78" s="11" t="s">
        <v>558</v>
      </c>
      <c r="E78" s="11">
        <v>0.22249500033820641</v>
      </c>
    </row>
    <row r="79" spans="1:5" ht="24.75">
      <c r="A79" s="11" t="s">
        <v>237</v>
      </c>
      <c r="B79" s="11" t="s">
        <v>133</v>
      </c>
      <c r="C79" s="11" t="s">
        <v>155</v>
      </c>
      <c r="D79" s="11" t="s">
        <v>559</v>
      </c>
      <c r="E79" s="11">
        <v>0.22672011682461463</v>
      </c>
    </row>
    <row r="80" spans="1:5" ht="24.75">
      <c r="A80" s="11" t="s">
        <v>237</v>
      </c>
      <c r="B80" s="11" t="s">
        <v>133</v>
      </c>
      <c r="C80" s="11" t="s">
        <v>155</v>
      </c>
      <c r="D80" s="11" t="s">
        <v>560</v>
      </c>
      <c r="E80" s="11">
        <v>0.64977214574141573</v>
      </c>
    </row>
    <row r="81" spans="1:5" ht="24.75">
      <c r="A81" s="11" t="s">
        <v>237</v>
      </c>
      <c r="B81" s="11" t="s">
        <v>133</v>
      </c>
      <c r="C81" s="11" t="s">
        <v>155</v>
      </c>
      <c r="D81" s="11" t="s">
        <v>561</v>
      </c>
      <c r="E81" s="11">
        <v>0.2295920412253909</v>
      </c>
    </row>
    <row r="82" spans="1:5" ht="24.75">
      <c r="A82" s="11" t="s">
        <v>237</v>
      </c>
      <c r="B82" s="11" t="s">
        <v>133</v>
      </c>
      <c r="C82" s="11" t="s">
        <v>155</v>
      </c>
      <c r="D82" s="11" t="s">
        <v>562</v>
      </c>
      <c r="E82" s="11">
        <v>0.17711870423311546</v>
      </c>
    </row>
    <row r="83" spans="1:5" ht="24.75">
      <c r="A83" s="11" t="s">
        <v>237</v>
      </c>
      <c r="B83" s="11" t="s">
        <v>133</v>
      </c>
      <c r="C83" s="11" t="s">
        <v>155</v>
      </c>
      <c r="D83" s="11" t="s">
        <v>563</v>
      </c>
      <c r="E83" s="11">
        <v>0.2267201168246176</v>
      </c>
    </row>
    <row r="84" spans="1:5" ht="24.75">
      <c r="A84" s="11" t="s">
        <v>237</v>
      </c>
      <c r="B84" s="11" t="s">
        <v>133</v>
      </c>
      <c r="C84" s="11" t="s">
        <v>155</v>
      </c>
      <c r="D84" s="11" t="s">
        <v>564</v>
      </c>
      <c r="E84" s="11">
        <v>3.2762169495120004</v>
      </c>
    </row>
    <row r="85" spans="1:5" ht="24.75">
      <c r="A85" s="11" t="s">
        <v>237</v>
      </c>
      <c r="B85" s="11" t="s">
        <v>133</v>
      </c>
      <c r="C85" s="11" t="s">
        <v>155</v>
      </c>
      <c r="D85" s="11" t="s">
        <v>565</v>
      </c>
      <c r="E85" s="11">
        <v>1.7809657301589279</v>
      </c>
    </row>
    <row r="86" spans="1:5" ht="24.75">
      <c r="A86" s="11" t="s">
        <v>237</v>
      </c>
      <c r="B86" s="11" t="s">
        <v>133</v>
      </c>
      <c r="C86" s="11" t="s">
        <v>155</v>
      </c>
      <c r="D86" s="11" t="s">
        <v>566</v>
      </c>
      <c r="E86" s="11">
        <v>0.88400000134368617</v>
      </c>
    </row>
    <row r="87" spans="1:5" ht="24.75">
      <c r="A87" s="11" t="s">
        <v>237</v>
      </c>
      <c r="B87" s="11" t="s">
        <v>133</v>
      </c>
      <c r="C87" s="11" t="s">
        <v>155</v>
      </c>
      <c r="D87" s="11" t="s">
        <v>567</v>
      </c>
      <c r="E87" s="11">
        <v>0.64685505251109576</v>
      </c>
    </row>
    <row r="88" spans="1:5" ht="24.75">
      <c r="A88" s="11" t="s">
        <v>237</v>
      </c>
      <c r="B88" s="11" t="s">
        <v>133</v>
      </c>
      <c r="C88" s="11" t="s">
        <v>155</v>
      </c>
      <c r="D88" s="11" t="s">
        <v>568</v>
      </c>
      <c r="E88" s="11">
        <v>0.22672011682461862</v>
      </c>
    </row>
    <row r="89" spans="1:5" ht="24.75">
      <c r="A89" s="11" t="s">
        <v>237</v>
      </c>
      <c r="B89" s="11" t="s">
        <v>133</v>
      </c>
      <c r="C89" s="11" t="s">
        <v>155</v>
      </c>
      <c r="D89" s="11" t="s">
        <v>569</v>
      </c>
      <c r="E89" s="11">
        <v>0.64165505250318677</v>
      </c>
    </row>
    <row r="90" spans="1:5" ht="24.75">
      <c r="A90" s="11" t="s">
        <v>237</v>
      </c>
      <c r="B90" s="11" t="s">
        <v>133</v>
      </c>
      <c r="C90" s="11" t="s">
        <v>155</v>
      </c>
      <c r="D90" s="11" t="s">
        <v>570</v>
      </c>
      <c r="E90" s="11">
        <v>0.22672011682462159</v>
      </c>
    </row>
    <row r="91" spans="1:5" ht="24.75">
      <c r="A91" s="11" t="s">
        <v>237</v>
      </c>
      <c r="B91" s="11" t="s">
        <v>133</v>
      </c>
      <c r="C91" s="11" t="s">
        <v>155</v>
      </c>
      <c r="D91" s="11" t="s">
        <v>571</v>
      </c>
      <c r="E91" s="11">
        <v>0.64165505250317267</v>
      </c>
    </row>
    <row r="92" spans="1:5" ht="24.75">
      <c r="A92" s="11" t="s">
        <v>237</v>
      </c>
      <c r="B92" s="11" t="s">
        <v>133</v>
      </c>
      <c r="C92" s="11" t="s">
        <v>155</v>
      </c>
      <c r="D92" s="11" t="s">
        <v>572</v>
      </c>
      <c r="E92" s="11">
        <v>0.29172000044340041</v>
      </c>
    </row>
    <row r="93" spans="1:5" ht="24.75">
      <c r="A93" s="11" t="s">
        <v>237</v>
      </c>
      <c r="B93" s="11" t="s">
        <v>133</v>
      </c>
      <c r="C93" s="11" t="s">
        <v>155</v>
      </c>
      <c r="D93" s="11" t="s">
        <v>573</v>
      </c>
      <c r="E93" s="11">
        <v>0.17806148020892748</v>
      </c>
    </row>
    <row r="94" spans="1:5" ht="24.75">
      <c r="A94" s="11" t="s">
        <v>237</v>
      </c>
      <c r="B94" s="11" t="s">
        <v>133</v>
      </c>
      <c r="C94" s="11" t="s">
        <v>155</v>
      </c>
      <c r="D94" s="11" t="s">
        <v>574</v>
      </c>
      <c r="E94" s="11">
        <v>0.2267201168246176</v>
      </c>
    </row>
    <row r="95" spans="1:5" ht="24.75">
      <c r="A95" s="11" t="s">
        <v>237</v>
      </c>
      <c r="B95" s="11" t="s">
        <v>133</v>
      </c>
      <c r="C95" s="11" t="s">
        <v>155</v>
      </c>
      <c r="D95" s="11" t="s">
        <v>575</v>
      </c>
      <c r="E95" s="11">
        <v>0.56318284785888206</v>
      </c>
    </row>
    <row r="96" spans="1:5" ht="24.75">
      <c r="A96" s="11" t="s">
        <v>237</v>
      </c>
      <c r="B96" s="11" t="s">
        <v>133</v>
      </c>
      <c r="C96" s="11" t="s">
        <v>155</v>
      </c>
      <c r="D96" s="11" t="s">
        <v>576</v>
      </c>
      <c r="E96" s="11">
        <v>4.6414515096730169E-2</v>
      </c>
    </row>
    <row r="97" spans="1:5" ht="24.75">
      <c r="A97" s="11" t="s">
        <v>237</v>
      </c>
      <c r="B97" s="11" t="s">
        <v>133</v>
      </c>
      <c r="C97" s="11" t="s">
        <v>155</v>
      </c>
      <c r="D97" s="11" t="s">
        <v>577</v>
      </c>
      <c r="E97" s="11">
        <v>0.83173433210283332</v>
      </c>
    </row>
    <row r="98" spans="1:5" ht="24.75">
      <c r="A98" s="11" t="s">
        <v>237</v>
      </c>
      <c r="B98" s="11" t="s">
        <v>133</v>
      </c>
      <c r="C98" s="11" t="s">
        <v>155</v>
      </c>
      <c r="D98" s="11" t="s">
        <v>578</v>
      </c>
      <c r="E98" s="11">
        <v>2.3289500035399744</v>
      </c>
    </row>
    <row r="99" spans="1:5" ht="24.75">
      <c r="A99" s="11" t="s">
        <v>237</v>
      </c>
      <c r="B99" s="11" t="s">
        <v>133</v>
      </c>
      <c r="C99" s="11" t="s">
        <v>155</v>
      </c>
      <c r="D99" s="11" t="s">
        <v>579</v>
      </c>
      <c r="E99" s="11">
        <v>0.97420104135194174</v>
      </c>
    </row>
    <row r="100" spans="1:5" ht="24.75">
      <c r="A100" s="11" t="s">
        <v>237</v>
      </c>
      <c r="B100" s="11" t="s">
        <v>133</v>
      </c>
      <c r="C100" s="11" t="s">
        <v>155</v>
      </c>
      <c r="D100" s="11" t="s">
        <v>580</v>
      </c>
      <c r="E100" s="11">
        <v>0.48682529972959548</v>
      </c>
    </row>
    <row r="101" spans="1:5" ht="24.75">
      <c r="A101" s="11" t="s">
        <v>237</v>
      </c>
      <c r="B101" s="11" t="s">
        <v>133</v>
      </c>
      <c r="C101" s="11" t="s">
        <v>155</v>
      </c>
      <c r="D101" s="11" t="s">
        <v>581</v>
      </c>
      <c r="E101" s="11">
        <v>1.5035385262686187</v>
      </c>
    </row>
    <row r="102" spans="1:5" ht="24.75">
      <c r="A102" s="11" t="s">
        <v>237</v>
      </c>
      <c r="B102" s="11" t="s">
        <v>133</v>
      </c>
      <c r="C102" s="11" t="s">
        <v>155</v>
      </c>
      <c r="D102" s="11" t="s">
        <v>582</v>
      </c>
      <c r="E102" s="11">
        <v>0.35535216076100834</v>
      </c>
    </row>
    <row r="103" spans="1:5" ht="24.75">
      <c r="A103" s="11" t="s">
        <v>237</v>
      </c>
      <c r="B103" s="11" t="s">
        <v>133</v>
      </c>
      <c r="C103" s="11" t="s">
        <v>155</v>
      </c>
      <c r="D103" s="11" t="s">
        <v>583</v>
      </c>
      <c r="E103" s="11">
        <v>0.63977490373719204</v>
      </c>
    </row>
    <row r="104" spans="1:5" ht="24.75">
      <c r="A104" s="11" t="s">
        <v>237</v>
      </c>
      <c r="B104" s="11" t="s">
        <v>133</v>
      </c>
      <c r="C104" s="11" t="s">
        <v>155</v>
      </c>
      <c r="D104" s="11" t="s">
        <v>584</v>
      </c>
      <c r="E104" s="11">
        <v>3.2079451213560866</v>
      </c>
    </row>
    <row r="105" spans="1:5" ht="24.75">
      <c r="A105" s="11" t="s">
        <v>237</v>
      </c>
      <c r="B105" s="11" t="s">
        <v>133</v>
      </c>
      <c r="C105" s="11" t="s">
        <v>155</v>
      </c>
      <c r="D105" s="11" t="s">
        <v>585</v>
      </c>
      <c r="E105" s="11">
        <v>1.1217887246149689</v>
      </c>
    </row>
    <row r="106" spans="1:5" ht="24.75">
      <c r="A106" s="11" t="s">
        <v>237</v>
      </c>
      <c r="B106" s="11" t="s">
        <v>133</v>
      </c>
      <c r="C106" s="11" t="s">
        <v>155</v>
      </c>
      <c r="D106" s="11" t="s">
        <v>586</v>
      </c>
      <c r="E106" s="11">
        <v>2.0699210186471402</v>
      </c>
    </row>
    <row r="107" spans="1:5" ht="24.75">
      <c r="A107" s="11" t="s">
        <v>237</v>
      </c>
      <c r="B107" s="11" t="s">
        <v>133</v>
      </c>
      <c r="C107" s="11" t="s">
        <v>155</v>
      </c>
      <c r="D107" s="11" t="s">
        <v>587</v>
      </c>
      <c r="E107" s="11">
        <v>9.0964209872431017</v>
      </c>
    </row>
    <row r="108" spans="1:5" ht="24.75">
      <c r="A108" s="11" t="s">
        <v>237</v>
      </c>
      <c r="B108" s="11" t="s">
        <v>133</v>
      </c>
      <c r="C108" s="11" t="s">
        <v>155</v>
      </c>
      <c r="D108" s="11" t="s">
        <v>588</v>
      </c>
      <c r="E108" s="11">
        <v>10.001917688642516</v>
      </c>
    </row>
    <row r="109" spans="1:5" ht="24.75">
      <c r="A109" s="11" t="s">
        <v>237</v>
      </c>
      <c r="B109" s="11" t="s">
        <v>133</v>
      </c>
      <c r="C109" s="11" t="s">
        <v>155</v>
      </c>
      <c r="D109" s="11" t="s">
        <v>589</v>
      </c>
      <c r="E109" s="11">
        <v>0.15067000022901442</v>
      </c>
    </row>
    <row r="110" spans="1:5" ht="24.75">
      <c r="A110" s="11" t="s">
        <v>237</v>
      </c>
      <c r="B110" s="11" t="s">
        <v>133</v>
      </c>
      <c r="C110" s="11" t="s">
        <v>155</v>
      </c>
      <c r="D110" s="11" t="s">
        <v>590</v>
      </c>
      <c r="E110" s="11">
        <v>3.0313400046076868</v>
      </c>
    </row>
    <row r="111" spans="1:5" ht="24.75">
      <c r="A111" s="11" t="s">
        <v>237</v>
      </c>
      <c r="B111" s="11" t="s">
        <v>133</v>
      </c>
      <c r="C111" s="11" t="s">
        <v>155</v>
      </c>
      <c r="D111" s="11" t="s">
        <v>591</v>
      </c>
      <c r="E111" s="11">
        <v>3.9879227210754529</v>
      </c>
    </row>
    <row r="112" spans="1:5" ht="24.75">
      <c r="A112" s="11" t="s">
        <v>237</v>
      </c>
      <c r="B112" s="11" t="s">
        <v>133</v>
      </c>
      <c r="C112" s="11" t="s">
        <v>155</v>
      </c>
      <c r="D112" s="11" t="s">
        <v>592</v>
      </c>
      <c r="E112" s="11">
        <v>0.16900000025687903</v>
      </c>
    </row>
    <row r="113" spans="1:5" ht="24.75">
      <c r="A113" s="11" t="s">
        <v>237</v>
      </c>
      <c r="B113" s="11" t="s">
        <v>133</v>
      </c>
      <c r="C113" s="11" t="s">
        <v>155</v>
      </c>
      <c r="D113" s="11" t="s">
        <v>593</v>
      </c>
      <c r="E113" s="11">
        <v>2.458950003737574</v>
      </c>
    </row>
    <row r="114" spans="1:5" ht="24.75">
      <c r="A114" s="11" t="s">
        <v>237</v>
      </c>
      <c r="B114" s="11" t="s">
        <v>133</v>
      </c>
      <c r="C114" s="11" t="s">
        <v>155</v>
      </c>
      <c r="D114" s="11" t="s">
        <v>594</v>
      </c>
      <c r="E114" s="11">
        <v>0.80102501303484508</v>
      </c>
    </row>
    <row r="115" spans="1:5" ht="24.75">
      <c r="A115" s="11" t="s">
        <v>237</v>
      </c>
      <c r="B115" s="11" t="s">
        <v>133</v>
      </c>
      <c r="C115" s="11" t="s">
        <v>155</v>
      </c>
      <c r="D115" s="11" t="s">
        <v>595</v>
      </c>
      <c r="E115" s="11">
        <v>0.16900000025688403</v>
      </c>
    </row>
    <row r="116" spans="1:5" ht="24.75">
      <c r="A116" s="11" t="s">
        <v>237</v>
      </c>
      <c r="B116" s="11" t="s">
        <v>133</v>
      </c>
      <c r="C116" s="11" t="s">
        <v>155</v>
      </c>
      <c r="D116" s="11" t="s">
        <v>596</v>
      </c>
      <c r="E116" s="11">
        <v>0.86307363354018696</v>
      </c>
    </row>
    <row r="117" spans="1:5" ht="24.75">
      <c r="A117" s="11" t="s">
        <v>237</v>
      </c>
      <c r="B117" s="11" t="s">
        <v>133</v>
      </c>
      <c r="C117" s="11" t="s">
        <v>155</v>
      </c>
      <c r="D117" s="11" t="s">
        <v>597</v>
      </c>
      <c r="E117" s="11">
        <v>9.1232878150439998</v>
      </c>
    </row>
    <row r="118" spans="1:5" ht="24.75">
      <c r="A118" s="11" t="s">
        <v>237</v>
      </c>
      <c r="B118" s="11" t="s">
        <v>133</v>
      </c>
      <c r="C118" s="11" t="s">
        <v>155</v>
      </c>
      <c r="D118" s="11" t="s">
        <v>598</v>
      </c>
      <c r="E118" s="11">
        <v>1.4515385261895988</v>
      </c>
    </row>
    <row r="119" spans="1:5" ht="24.75">
      <c r="A119" s="11" t="s">
        <v>237</v>
      </c>
      <c r="B119" s="11" t="s">
        <v>133</v>
      </c>
      <c r="C119" s="11" t="s">
        <v>155</v>
      </c>
      <c r="D119" s="11" t="s">
        <v>599</v>
      </c>
      <c r="E119" s="11">
        <v>0.30958626002661915</v>
      </c>
    </row>
    <row r="120" spans="1:5" ht="24.75">
      <c r="A120" s="11" t="s">
        <v>237</v>
      </c>
      <c r="B120" s="11" t="s">
        <v>133</v>
      </c>
      <c r="C120" s="11" t="s">
        <v>155</v>
      </c>
      <c r="D120" s="11" t="s">
        <v>600</v>
      </c>
      <c r="E120" s="11">
        <v>0.15067000022901442</v>
      </c>
    </row>
    <row r="121" spans="1:5" ht="24.75">
      <c r="A121" s="11" t="s">
        <v>237</v>
      </c>
      <c r="B121" s="11" t="s">
        <v>133</v>
      </c>
      <c r="C121" s="11" t="s">
        <v>155</v>
      </c>
      <c r="D121" s="11" t="s">
        <v>601</v>
      </c>
      <c r="E121" s="11">
        <v>3.5475012724590727</v>
      </c>
    </row>
    <row r="122" spans="1:5" ht="24.75">
      <c r="A122" s="11" t="s">
        <v>237</v>
      </c>
      <c r="B122" s="11" t="s">
        <v>133</v>
      </c>
      <c r="C122" s="11" t="s">
        <v>155</v>
      </c>
      <c r="D122" s="11" t="s">
        <v>602</v>
      </c>
      <c r="E122" s="11">
        <v>5.7918456361139059</v>
      </c>
    </row>
    <row r="123" spans="1:5" ht="24.75">
      <c r="A123" s="11" t="s">
        <v>237</v>
      </c>
      <c r="B123" s="11" t="s">
        <v>133</v>
      </c>
      <c r="C123" s="11" t="s">
        <v>155</v>
      </c>
      <c r="D123" s="11" t="s">
        <v>603</v>
      </c>
      <c r="E123" s="11">
        <v>0.15067000022901442</v>
      </c>
    </row>
    <row r="124" spans="1:5" ht="24.75">
      <c r="A124" s="11" t="s">
        <v>237</v>
      </c>
      <c r="B124" s="11" t="s">
        <v>133</v>
      </c>
      <c r="C124" s="11" t="s">
        <v>155</v>
      </c>
      <c r="D124" s="11" t="s">
        <v>604</v>
      </c>
      <c r="E124" s="11">
        <v>3.8079799147103599</v>
      </c>
    </row>
    <row r="125" spans="1:5" ht="24.75">
      <c r="A125" s="11" t="s">
        <v>237</v>
      </c>
      <c r="B125" s="11" t="s">
        <v>133</v>
      </c>
      <c r="C125" s="11" t="s">
        <v>155</v>
      </c>
      <c r="D125" s="11" t="s">
        <v>605</v>
      </c>
      <c r="E125" s="11">
        <v>5.4327283802227377</v>
      </c>
    </row>
    <row r="126" spans="1:5" ht="24.75">
      <c r="A126" s="11" t="s">
        <v>237</v>
      </c>
      <c r="B126" s="11" t="s">
        <v>133</v>
      </c>
      <c r="C126" s="11" t="s">
        <v>155</v>
      </c>
      <c r="D126" s="11" t="s">
        <v>606</v>
      </c>
      <c r="E126" s="11">
        <v>0.15067000022901442</v>
      </c>
    </row>
    <row r="127" spans="1:5" ht="24.75">
      <c r="A127" s="11" t="s">
        <v>237</v>
      </c>
      <c r="B127" s="11" t="s">
        <v>133</v>
      </c>
      <c r="C127" s="11" t="s">
        <v>155</v>
      </c>
      <c r="D127" s="11" t="s">
        <v>607</v>
      </c>
      <c r="E127" s="11">
        <v>4.3257058135386028</v>
      </c>
    </row>
    <row r="128" spans="1:5" ht="24.75">
      <c r="A128" s="11" t="s">
        <v>237</v>
      </c>
      <c r="B128" s="11" t="s">
        <v>133</v>
      </c>
      <c r="C128" s="11" t="s">
        <v>155</v>
      </c>
      <c r="D128" s="11" t="s">
        <v>608</v>
      </c>
      <c r="E128" s="11">
        <v>0.90554386501862871</v>
      </c>
    </row>
    <row r="129" spans="1:5" ht="24.75">
      <c r="A129" s="11" t="s">
        <v>237</v>
      </c>
      <c r="B129" s="11" t="s">
        <v>133</v>
      </c>
      <c r="C129" s="11" t="s">
        <v>155</v>
      </c>
      <c r="D129" s="11" t="s">
        <v>609</v>
      </c>
      <c r="E129" s="11">
        <v>0.15067000022901442</v>
      </c>
    </row>
    <row r="130" spans="1:5" ht="24.75">
      <c r="A130" s="11" t="s">
        <v>237</v>
      </c>
      <c r="B130" s="11" t="s">
        <v>133</v>
      </c>
      <c r="C130" s="11" t="s">
        <v>155</v>
      </c>
      <c r="D130" s="11" t="s">
        <v>610</v>
      </c>
      <c r="E130" s="11">
        <v>3.0833461937005167</v>
      </c>
    </row>
    <row r="131" spans="1:5" ht="24.75">
      <c r="A131" s="11" t="s">
        <v>237</v>
      </c>
      <c r="B131" s="11" t="s">
        <v>133</v>
      </c>
      <c r="C131" s="11" t="s">
        <v>155</v>
      </c>
      <c r="D131" s="11" t="s">
        <v>611</v>
      </c>
      <c r="E131" s="11">
        <v>4.19736185456863</v>
      </c>
    </row>
    <row r="132" spans="1:5" ht="24.75">
      <c r="A132" s="11" t="s">
        <v>237</v>
      </c>
      <c r="B132" s="11" t="s">
        <v>133</v>
      </c>
      <c r="C132" s="11" t="s">
        <v>155</v>
      </c>
      <c r="D132" s="11" t="s">
        <v>612</v>
      </c>
      <c r="E132" s="11">
        <v>2.3880073464556013E-2</v>
      </c>
    </row>
    <row r="133" spans="1:5" ht="24.75">
      <c r="A133" s="11" t="s">
        <v>237</v>
      </c>
      <c r="B133" s="11" t="s">
        <v>133</v>
      </c>
      <c r="C133" s="11" t="s">
        <v>155</v>
      </c>
      <c r="D133" s="11" t="s">
        <v>613</v>
      </c>
      <c r="E133" s="11">
        <v>0.15978853687509362</v>
      </c>
    </row>
    <row r="134" spans="1:5" ht="24.75">
      <c r="A134" s="11" t="s">
        <v>237</v>
      </c>
      <c r="B134" s="11" t="s">
        <v>133</v>
      </c>
      <c r="C134" s="11" t="s">
        <v>155</v>
      </c>
      <c r="D134" s="11" t="s">
        <v>614</v>
      </c>
      <c r="E134" s="11">
        <v>5.6617761803892801</v>
      </c>
    </row>
    <row r="135" spans="1:5" ht="24.75">
      <c r="A135" s="11" t="s">
        <v>237</v>
      </c>
      <c r="B135" s="11" t="s">
        <v>133</v>
      </c>
      <c r="C135" s="11" t="s">
        <v>155</v>
      </c>
      <c r="D135" s="11" t="s">
        <v>615</v>
      </c>
      <c r="E135" s="11">
        <v>0.15978834211180731</v>
      </c>
    </row>
    <row r="136" spans="1:5" ht="24.75">
      <c r="A136" s="11" t="s">
        <v>237</v>
      </c>
      <c r="B136" s="11" t="s">
        <v>133</v>
      </c>
      <c r="C136" s="11" t="s">
        <v>155</v>
      </c>
      <c r="D136" s="11" t="s">
        <v>616</v>
      </c>
      <c r="E136" s="11">
        <v>3.9237804350853769</v>
      </c>
    </row>
    <row r="137" spans="1:5" ht="24.75">
      <c r="A137" s="11" t="s">
        <v>237</v>
      </c>
      <c r="B137" s="11" t="s">
        <v>133</v>
      </c>
      <c r="C137" s="11" t="s">
        <v>155</v>
      </c>
      <c r="D137" s="11" t="s">
        <v>617</v>
      </c>
      <c r="E137" s="11">
        <v>1.0302017549264166</v>
      </c>
    </row>
    <row r="138" spans="1:5" ht="24.75">
      <c r="A138" s="11" t="s">
        <v>237</v>
      </c>
      <c r="B138" s="11" t="s">
        <v>133</v>
      </c>
      <c r="C138" s="11" t="s">
        <v>155</v>
      </c>
      <c r="D138" s="11" t="s">
        <v>618</v>
      </c>
      <c r="E138" s="11">
        <v>0.4053400006161168</v>
      </c>
    </row>
    <row r="139" spans="1:5" ht="24.75">
      <c r="A139" s="11" t="s">
        <v>237</v>
      </c>
      <c r="B139" s="11" t="s">
        <v>133</v>
      </c>
      <c r="C139" s="11" t="s">
        <v>155</v>
      </c>
      <c r="D139" s="11" t="s">
        <v>619</v>
      </c>
      <c r="E139" s="11">
        <v>0.44317000067362344</v>
      </c>
    </row>
    <row r="140" spans="1:5" ht="24.75">
      <c r="A140" s="11" t="s">
        <v>237</v>
      </c>
      <c r="B140" s="11" t="s">
        <v>133</v>
      </c>
      <c r="C140" s="11" t="s">
        <v>155</v>
      </c>
      <c r="D140" s="11" t="s">
        <v>620</v>
      </c>
      <c r="E140" s="11">
        <v>0.15067000022901442</v>
      </c>
    </row>
    <row r="141" spans="1:5" ht="24.75">
      <c r="A141" s="11" t="s">
        <v>237</v>
      </c>
      <c r="B141" s="11" t="s">
        <v>133</v>
      </c>
      <c r="C141" s="11" t="s">
        <v>155</v>
      </c>
      <c r="D141" s="11" t="s">
        <v>621</v>
      </c>
      <c r="E141" s="11">
        <v>0.45734000069519187</v>
      </c>
    </row>
    <row r="142" spans="1:5" ht="24.75">
      <c r="A142" s="11" t="s">
        <v>237</v>
      </c>
      <c r="B142" s="11" t="s">
        <v>133</v>
      </c>
      <c r="C142" s="11" t="s">
        <v>155</v>
      </c>
      <c r="D142" s="11" t="s">
        <v>622</v>
      </c>
      <c r="E142" s="11">
        <v>4.1916878029472056</v>
      </c>
    </row>
    <row r="143" spans="1:5" ht="24.75">
      <c r="A143" s="11" t="s">
        <v>237</v>
      </c>
      <c r="B143" s="11" t="s">
        <v>133</v>
      </c>
      <c r="C143" s="11" t="s">
        <v>155</v>
      </c>
      <c r="D143" s="11" t="s">
        <v>623</v>
      </c>
      <c r="E143" s="11">
        <v>3.3874840294533164</v>
      </c>
    </row>
    <row r="144" spans="1:5" ht="24.75">
      <c r="A144" s="11" t="s">
        <v>237</v>
      </c>
      <c r="B144" s="11" t="s">
        <v>133</v>
      </c>
      <c r="C144" s="11" t="s">
        <v>155</v>
      </c>
      <c r="D144" s="11" t="s">
        <v>624</v>
      </c>
      <c r="E144" s="11">
        <v>0.79092000120219841</v>
      </c>
    </row>
    <row r="145" spans="1:5" ht="24.75">
      <c r="A145" s="11" t="s">
        <v>237</v>
      </c>
      <c r="B145" s="11" t="s">
        <v>133</v>
      </c>
      <c r="C145" s="11" t="s">
        <v>155</v>
      </c>
      <c r="D145" s="11" t="s">
        <v>625</v>
      </c>
      <c r="E145" s="11">
        <v>0.64685505251109188</v>
      </c>
    </row>
    <row r="146" spans="1:5" ht="24.75">
      <c r="A146" s="11" t="s">
        <v>237</v>
      </c>
      <c r="B146" s="11" t="s">
        <v>133</v>
      </c>
      <c r="C146" s="11" t="s">
        <v>155</v>
      </c>
      <c r="D146" s="11" t="s">
        <v>626</v>
      </c>
      <c r="E146" s="11">
        <v>6.8092220088141984</v>
      </c>
    </row>
    <row r="147" spans="1:5" ht="24.75">
      <c r="A147" s="11" t="s">
        <v>237</v>
      </c>
      <c r="B147" s="11" t="s">
        <v>133</v>
      </c>
      <c r="C147" s="11" t="s">
        <v>155</v>
      </c>
      <c r="D147" s="11" t="s">
        <v>627</v>
      </c>
      <c r="E147" s="11">
        <v>3.3989750269694521</v>
      </c>
    </row>
    <row r="148" spans="1:5" ht="24.75">
      <c r="A148" s="11" t="s">
        <v>237</v>
      </c>
      <c r="B148" s="11" t="s">
        <v>133</v>
      </c>
      <c r="C148" s="11" t="s">
        <v>155</v>
      </c>
      <c r="D148" s="11" t="s">
        <v>628</v>
      </c>
      <c r="E148" s="11">
        <v>0.7264522074488684</v>
      </c>
    </row>
    <row r="149" spans="1:5" ht="24.75">
      <c r="A149" s="11" t="s">
        <v>237</v>
      </c>
      <c r="B149" s="11" t="s">
        <v>133</v>
      </c>
      <c r="C149" s="11" t="s">
        <v>155</v>
      </c>
      <c r="D149" s="11" t="s">
        <v>629</v>
      </c>
      <c r="E149" s="11">
        <v>2.3939500036387744</v>
      </c>
    </row>
    <row r="150" spans="1:5" ht="24.75">
      <c r="A150" s="11" t="s">
        <v>237</v>
      </c>
      <c r="B150" s="11" t="s">
        <v>133</v>
      </c>
      <c r="C150" s="11" t="s">
        <v>155</v>
      </c>
      <c r="D150" s="11" t="s">
        <v>630</v>
      </c>
      <c r="E150" s="11">
        <v>0.85689500130247054</v>
      </c>
    </row>
    <row r="151" spans="1:5" ht="24.75">
      <c r="A151" s="11" t="s">
        <v>237</v>
      </c>
      <c r="B151" s="11" t="s">
        <v>133</v>
      </c>
      <c r="C151" s="11" t="s">
        <v>155</v>
      </c>
      <c r="D151" s="11" t="s">
        <v>631</v>
      </c>
      <c r="E151" s="11">
        <v>0.93948849198814055</v>
      </c>
    </row>
    <row r="152" spans="1:5" ht="24.75">
      <c r="A152" s="11" t="s">
        <v>237</v>
      </c>
      <c r="B152" s="11" t="s">
        <v>133</v>
      </c>
      <c r="C152" s="11" t="s">
        <v>155</v>
      </c>
      <c r="D152" s="11" t="s">
        <v>632</v>
      </c>
      <c r="E152" s="11">
        <v>7.0920425808924161</v>
      </c>
    </row>
    <row r="153" spans="1:5" ht="24.75">
      <c r="A153" s="11" t="s">
        <v>237</v>
      </c>
      <c r="B153" s="11" t="s">
        <v>133</v>
      </c>
      <c r="C153" s="11" t="s">
        <v>155</v>
      </c>
      <c r="D153" s="11" t="s">
        <v>633</v>
      </c>
      <c r="E153" s="11">
        <v>3.4052055451218126</v>
      </c>
    </row>
    <row r="154" spans="1:5" ht="24.75">
      <c r="A154" s="11" t="s">
        <v>237</v>
      </c>
      <c r="B154" s="11" t="s">
        <v>133</v>
      </c>
      <c r="C154" s="11" t="s">
        <v>155</v>
      </c>
      <c r="D154" s="11" t="s">
        <v>634</v>
      </c>
      <c r="E154" s="11">
        <v>0.80229492815228942</v>
      </c>
    </row>
    <row r="155" spans="1:5" ht="24.75">
      <c r="A155" s="11" t="s">
        <v>237</v>
      </c>
      <c r="B155" s="11" t="s">
        <v>133</v>
      </c>
      <c r="C155" s="11" t="s">
        <v>155</v>
      </c>
      <c r="D155" s="11" t="s">
        <v>635</v>
      </c>
      <c r="E155" s="11">
        <v>0.169000000256883</v>
      </c>
    </row>
    <row r="156" spans="1:5" ht="24.75">
      <c r="A156" s="11" t="s">
        <v>237</v>
      </c>
      <c r="B156" s="11" t="s">
        <v>133</v>
      </c>
      <c r="C156" s="11" t="s">
        <v>155</v>
      </c>
      <c r="D156" s="11" t="s">
        <v>636</v>
      </c>
      <c r="E156" s="11">
        <v>2.3939500036387744</v>
      </c>
    </row>
    <row r="157" spans="1:5" ht="24.75">
      <c r="A157" s="11" t="s">
        <v>237</v>
      </c>
      <c r="B157" s="11" t="s">
        <v>133</v>
      </c>
      <c r="C157" s="11" t="s">
        <v>155</v>
      </c>
      <c r="D157" s="11" t="s">
        <v>637</v>
      </c>
      <c r="E157" s="11">
        <v>0.85689500130247054</v>
      </c>
    </row>
    <row r="158" spans="1:5" ht="24.75">
      <c r="A158" s="11" t="s">
        <v>237</v>
      </c>
      <c r="B158" s="11" t="s">
        <v>133</v>
      </c>
      <c r="C158" s="11" t="s">
        <v>155</v>
      </c>
      <c r="D158" s="11" t="s">
        <v>638</v>
      </c>
      <c r="E158" s="11">
        <v>0.68741435475063384</v>
      </c>
    </row>
    <row r="159" spans="1:5" ht="24.75">
      <c r="A159" s="11" t="s">
        <v>237</v>
      </c>
      <c r="B159" s="11" t="s">
        <v>133</v>
      </c>
      <c r="C159" s="11" t="s">
        <v>155</v>
      </c>
      <c r="D159" s="11" t="s">
        <v>639</v>
      </c>
      <c r="E159" s="11">
        <v>3.2203286335383896</v>
      </c>
    </row>
    <row r="160" spans="1:5" ht="24.75">
      <c r="A160" s="11" t="s">
        <v>237</v>
      </c>
      <c r="B160" s="11" t="s">
        <v>133</v>
      </c>
      <c r="C160" s="11" t="s">
        <v>155</v>
      </c>
      <c r="D160" s="11" t="s">
        <v>640</v>
      </c>
      <c r="E160" s="11">
        <v>0.169000000256883</v>
      </c>
    </row>
    <row r="161" spans="1:5" ht="24.75">
      <c r="A161" s="11" t="s">
        <v>237</v>
      </c>
      <c r="B161" s="11" t="s">
        <v>133</v>
      </c>
      <c r="C161" s="11" t="s">
        <v>155</v>
      </c>
      <c r="D161" s="11" t="s">
        <v>641</v>
      </c>
      <c r="E161" s="11">
        <v>0.16900000025689602</v>
      </c>
    </row>
    <row r="162" spans="1:5" ht="24.75">
      <c r="A162" s="11" t="s">
        <v>237</v>
      </c>
      <c r="B162" s="11" t="s">
        <v>133</v>
      </c>
      <c r="C162" s="11" t="s">
        <v>155</v>
      </c>
      <c r="D162" s="11" t="s">
        <v>642</v>
      </c>
      <c r="E162" s="11">
        <v>0.169000000256881</v>
      </c>
    </row>
    <row r="163" spans="1:5" ht="24.75">
      <c r="A163" s="11" t="s">
        <v>237</v>
      </c>
      <c r="B163" s="11" t="s">
        <v>133</v>
      </c>
      <c r="C163" s="11" t="s">
        <v>155</v>
      </c>
      <c r="D163" s="11" t="s">
        <v>643</v>
      </c>
      <c r="E163" s="11">
        <v>2.458950003737574</v>
      </c>
    </row>
    <row r="164" spans="1:5" ht="24.75">
      <c r="A164" s="11" t="s">
        <v>237</v>
      </c>
      <c r="B164" s="11" t="s">
        <v>133</v>
      </c>
      <c r="C164" s="11" t="s">
        <v>155</v>
      </c>
      <c r="D164" s="11" t="s">
        <v>644</v>
      </c>
      <c r="E164" s="11">
        <v>2.458950003737574</v>
      </c>
    </row>
    <row r="165" spans="1:5" ht="24.75">
      <c r="A165" s="11" t="s">
        <v>237</v>
      </c>
      <c r="B165" s="11" t="s">
        <v>133</v>
      </c>
      <c r="C165" s="11" t="s">
        <v>155</v>
      </c>
      <c r="D165" s="11" t="s">
        <v>645</v>
      </c>
      <c r="E165" s="11">
        <v>2.5239500038363745</v>
      </c>
    </row>
    <row r="166" spans="1:5" ht="24.75">
      <c r="A166" s="11" t="s">
        <v>237</v>
      </c>
      <c r="B166" s="11" t="s">
        <v>133</v>
      </c>
      <c r="C166" s="11" t="s">
        <v>155</v>
      </c>
      <c r="D166" s="11" t="s">
        <v>646</v>
      </c>
      <c r="E166" s="11">
        <v>1.07900000164008</v>
      </c>
    </row>
    <row r="167" spans="1:5" ht="24.75">
      <c r="A167" s="11" t="s">
        <v>237</v>
      </c>
      <c r="B167" s="11" t="s">
        <v>133</v>
      </c>
      <c r="C167" s="11" t="s">
        <v>155</v>
      </c>
      <c r="D167" s="11" t="s">
        <v>647</v>
      </c>
      <c r="E167" s="11">
        <v>1.07900000164008</v>
      </c>
    </row>
    <row r="168" spans="1:5" ht="24.75">
      <c r="A168" s="11" t="s">
        <v>237</v>
      </c>
      <c r="B168" s="11" t="s">
        <v>133</v>
      </c>
      <c r="C168" s="11" t="s">
        <v>155</v>
      </c>
      <c r="D168" s="11" t="s">
        <v>648</v>
      </c>
      <c r="E168" s="11">
        <v>0.16900000025687903</v>
      </c>
    </row>
    <row r="169" spans="1:5" ht="24.75">
      <c r="A169" s="11" t="s">
        <v>237</v>
      </c>
      <c r="B169" s="11" t="s">
        <v>133</v>
      </c>
      <c r="C169" s="11" t="s">
        <v>155</v>
      </c>
      <c r="D169" s="11" t="s">
        <v>649</v>
      </c>
      <c r="E169" s="11">
        <v>0.16900000025688702</v>
      </c>
    </row>
    <row r="170" spans="1:5" ht="24.75">
      <c r="A170" s="11" t="s">
        <v>237</v>
      </c>
      <c r="B170" s="11" t="s">
        <v>133</v>
      </c>
      <c r="C170" s="11" t="s">
        <v>155</v>
      </c>
      <c r="D170" s="11" t="s">
        <v>650</v>
      </c>
      <c r="E170" s="11">
        <v>0.16900000025688802</v>
      </c>
    </row>
    <row r="171" spans="1:5" ht="24.75">
      <c r="A171" s="11" t="s">
        <v>237</v>
      </c>
      <c r="B171" s="11" t="s">
        <v>133</v>
      </c>
      <c r="C171" s="11" t="s">
        <v>155</v>
      </c>
      <c r="D171" s="11" t="s">
        <v>651</v>
      </c>
      <c r="E171" s="11">
        <v>0.16900000025687903</v>
      </c>
    </row>
    <row r="172" spans="1:5" ht="24.75">
      <c r="A172" s="11" t="s">
        <v>237</v>
      </c>
      <c r="B172" s="11" t="s">
        <v>133</v>
      </c>
      <c r="C172" s="11" t="s">
        <v>155</v>
      </c>
      <c r="D172" s="11" t="s">
        <v>652</v>
      </c>
      <c r="E172" s="11">
        <v>0.16900000025688702</v>
      </c>
    </row>
    <row r="173" spans="1:5" ht="24.75">
      <c r="A173" s="11" t="s">
        <v>237</v>
      </c>
      <c r="B173" s="11" t="s">
        <v>133</v>
      </c>
      <c r="C173" s="11" t="s">
        <v>155</v>
      </c>
      <c r="D173" s="11" t="s">
        <v>653</v>
      </c>
      <c r="E173" s="11">
        <v>0.62147031451005996</v>
      </c>
    </row>
    <row r="174" spans="1:5" ht="24.75">
      <c r="A174" s="11" t="s">
        <v>237</v>
      </c>
      <c r="B174" s="11" t="s">
        <v>133</v>
      </c>
      <c r="C174" s="11" t="s">
        <v>155</v>
      </c>
      <c r="D174" s="11" t="s">
        <v>654</v>
      </c>
      <c r="E174" s="11">
        <v>0.62147031450995194</v>
      </c>
    </row>
    <row r="175" spans="1:5" ht="24.75">
      <c r="A175" s="11" t="s">
        <v>237</v>
      </c>
      <c r="B175" s="11" t="s">
        <v>133</v>
      </c>
      <c r="C175" s="11" t="s">
        <v>155</v>
      </c>
      <c r="D175" s="11" t="s">
        <v>655</v>
      </c>
      <c r="E175" s="11">
        <v>0.86241388206841119</v>
      </c>
    </row>
    <row r="176" spans="1:5" ht="24.75">
      <c r="A176" s="11" t="s">
        <v>237</v>
      </c>
      <c r="B176" s="11" t="s">
        <v>133</v>
      </c>
      <c r="C176" s="11" t="s">
        <v>155</v>
      </c>
      <c r="D176" s="11" t="s">
        <v>656</v>
      </c>
      <c r="E176" s="11">
        <v>9.2495000140655217E-2</v>
      </c>
    </row>
    <row r="177" spans="1:5" ht="24.75">
      <c r="A177" s="11" t="s">
        <v>237</v>
      </c>
      <c r="B177" s="11" t="s">
        <v>133</v>
      </c>
      <c r="C177" s="11" t="s">
        <v>155</v>
      </c>
      <c r="D177" s="11" t="s">
        <v>657</v>
      </c>
      <c r="E177" s="11">
        <v>9.0702948146268199</v>
      </c>
    </row>
    <row r="178" spans="1:5" ht="24.75">
      <c r="A178" s="11" t="s">
        <v>237</v>
      </c>
      <c r="B178" s="11" t="s">
        <v>133</v>
      </c>
      <c r="C178" s="11" t="s">
        <v>155</v>
      </c>
      <c r="D178" s="11" t="s">
        <v>658</v>
      </c>
      <c r="E178" s="11">
        <v>0.73372000111523139</v>
      </c>
    </row>
    <row r="179" spans="1:5" ht="24.75">
      <c r="A179" s="11" t="s">
        <v>237</v>
      </c>
      <c r="B179" s="11" t="s">
        <v>133</v>
      </c>
      <c r="C179" s="11" t="s">
        <v>155</v>
      </c>
      <c r="D179" s="11" t="s">
        <v>659</v>
      </c>
      <c r="E179" s="11">
        <v>0.73669644230939768</v>
      </c>
    </row>
    <row r="180" spans="1:5" ht="24.75">
      <c r="A180" s="11" t="s">
        <v>237</v>
      </c>
      <c r="B180" s="11" t="s">
        <v>133</v>
      </c>
      <c r="C180" s="11" t="s">
        <v>155</v>
      </c>
      <c r="D180" s="11" t="s">
        <v>660</v>
      </c>
      <c r="E180" s="11">
        <v>10.80675645780827</v>
      </c>
    </row>
    <row r="181" spans="1:5" ht="24.75">
      <c r="A181" s="11" t="s">
        <v>237</v>
      </c>
      <c r="B181" s="11" t="s">
        <v>133</v>
      </c>
      <c r="C181" s="11" t="s">
        <v>155</v>
      </c>
      <c r="D181" s="11" t="s">
        <v>661</v>
      </c>
      <c r="E181" s="11">
        <v>3.3337200050672244</v>
      </c>
    </row>
    <row r="182" spans="1:5" ht="24.75">
      <c r="A182" s="11" t="s">
        <v>237</v>
      </c>
      <c r="B182" s="11" t="s">
        <v>133</v>
      </c>
      <c r="C182" s="11" t="s">
        <v>155</v>
      </c>
      <c r="D182" s="11" t="s">
        <v>662</v>
      </c>
      <c r="E182" s="11">
        <v>0.72362983082320143</v>
      </c>
    </row>
    <row r="183" spans="1:5" ht="24.75">
      <c r="A183" s="11" t="s">
        <v>237</v>
      </c>
      <c r="B183" s="11" t="s">
        <v>133</v>
      </c>
      <c r="C183" s="11" t="s">
        <v>155</v>
      </c>
      <c r="D183" s="11" t="s">
        <v>663</v>
      </c>
      <c r="E183" s="11">
        <v>7.172346986924738E-2</v>
      </c>
    </row>
    <row r="184" spans="1:5" ht="24.75">
      <c r="A184" s="11" t="s">
        <v>237</v>
      </c>
      <c r="B184" s="11" t="s">
        <v>133</v>
      </c>
      <c r="C184" s="11" t="s">
        <v>155</v>
      </c>
      <c r="D184" s="11" t="s">
        <v>664</v>
      </c>
      <c r="E184" s="11">
        <v>3.3337200050672551</v>
      </c>
    </row>
    <row r="185" spans="1:5" ht="24.75">
      <c r="A185" s="11" t="s">
        <v>237</v>
      </c>
      <c r="B185" s="11" t="s">
        <v>133</v>
      </c>
      <c r="C185" s="11" t="s">
        <v>155</v>
      </c>
      <c r="D185" s="11" t="s">
        <v>665</v>
      </c>
      <c r="E185" s="11">
        <v>0.18414500027990943</v>
      </c>
    </row>
    <row r="186" spans="1:5" ht="24.75">
      <c r="A186" s="11" t="s">
        <v>237</v>
      </c>
      <c r="B186" s="11" t="s">
        <v>133</v>
      </c>
      <c r="C186" s="11" t="s">
        <v>155</v>
      </c>
      <c r="D186" s="11" t="s">
        <v>666</v>
      </c>
      <c r="E186" s="11">
        <v>5.8383293571878712</v>
      </c>
    </row>
    <row r="187" spans="1:5" ht="24.75">
      <c r="A187" s="11" t="s">
        <v>237</v>
      </c>
      <c r="B187" s="11" t="s">
        <v>133</v>
      </c>
      <c r="C187" s="11" t="s">
        <v>155</v>
      </c>
      <c r="D187" s="11" t="s">
        <v>667</v>
      </c>
      <c r="E187" s="11">
        <v>0.18414500027989245</v>
      </c>
    </row>
    <row r="188" spans="1:5" ht="24.75">
      <c r="A188" s="11" t="s">
        <v>237</v>
      </c>
      <c r="B188" s="11" t="s">
        <v>133</v>
      </c>
      <c r="C188" s="11" t="s">
        <v>155</v>
      </c>
      <c r="D188" s="11" t="s">
        <v>668</v>
      </c>
      <c r="E188" s="11">
        <v>2.751538504251609</v>
      </c>
    </row>
    <row r="189" spans="1:5" ht="24.75">
      <c r="A189" s="11" t="s">
        <v>237</v>
      </c>
      <c r="B189" s="11" t="s">
        <v>133</v>
      </c>
      <c r="C189" s="11" t="s">
        <v>155</v>
      </c>
      <c r="D189" s="11" t="s">
        <v>669</v>
      </c>
      <c r="E189" s="11">
        <v>1.2435385258734084</v>
      </c>
    </row>
    <row r="190" spans="1:5" ht="24.75">
      <c r="A190" s="11" t="s">
        <v>237</v>
      </c>
      <c r="B190" s="11" t="s">
        <v>133</v>
      </c>
      <c r="C190" s="11" t="s">
        <v>155</v>
      </c>
      <c r="D190" s="11" t="s">
        <v>670</v>
      </c>
      <c r="E190" s="11">
        <v>3.3970950051635547</v>
      </c>
    </row>
    <row r="191" spans="1:5">
      <c r="A191" s="1" t="s">
        <v>126</v>
      </c>
      <c r="B191" s="1" t="s">
        <v>126</v>
      </c>
      <c r="C191" s="1">
        <f>SUBTOTAL(103,Elements13891[Elemento])</f>
        <v>184</v>
      </c>
      <c r="D191" s="1" t="s">
        <v>126</v>
      </c>
      <c r="E191" s="1">
        <f>SUBTOTAL(109,Elements13891[Totais:])</f>
        <v>364.49367107611096</v>
      </c>
    </row>
  </sheetData>
  <mergeCells count="3">
    <mergeCell ref="A1:E2"/>
    <mergeCell ref="A4:E4"/>
    <mergeCell ref="A5:E5"/>
  </mergeCells>
  <hyperlinks>
    <hyperlink ref="A1" location="'13.8.9'!A1" display="ELETRODUTO DE PVC RIGIDO ROSQUEAVEL DE 1”,INCLUSIVE CONEXOES E EMENDAS,EXCLUSIVE ABERTURA E FECHAMENTO DE RASGO.FORNECIM ENTO E ASSENTAMENTO" xr:uid="{00000000-0004-0000-2500-000000000000}"/>
    <hyperlink ref="B1" location="'13.8.9'!A1" display="ELETRODUTO DE PVC RIGIDO ROSQUEAVEL DE 1”,INCLUSIVE CONEXOES E EMENDAS,EXCLUSIVE ABERTURA E FECHAMENTO DE RASGO.FORNECIM ENTO E ASSENTAMENTO" xr:uid="{00000000-0004-0000-2500-000001000000}"/>
    <hyperlink ref="C1" location="'13.8.9'!A1" display="ELETRODUTO DE PVC RIGIDO ROSQUEAVEL DE 1”,INCLUSIVE CONEXOES E EMENDAS,EXCLUSIVE ABERTURA E FECHAMENTO DE RASGO.FORNECIM ENTO E ASSENTAMENTO" xr:uid="{00000000-0004-0000-2500-000002000000}"/>
    <hyperlink ref="D1" location="'13.8.9'!A1" display="ELETRODUTO DE PVC RIGIDO ROSQUEAVEL DE 1”,INCLUSIVE CONEXOES E EMENDAS,EXCLUSIVE ABERTURA E FECHAMENTO DE RASGO.FORNECIM ENTO E ASSENTAMENTO" xr:uid="{00000000-0004-0000-2500-000003000000}"/>
    <hyperlink ref="E1" location="'13.8.9'!A1" display="ELETRODUTO DE PVC RIGIDO ROSQUEAVEL DE 1”,INCLUSIVE CONEXOES E EMENDAS,EXCLUSIVE ABERTURA E FECHAMENTO DE RASGO.FORNECIM ENTO E ASSENTAMENTO" xr:uid="{00000000-0004-0000-2500-000004000000}"/>
    <hyperlink ref="A2" location="'13.8.9'!A1" display="ELETRODUTO DE PVC RIGIDO ROSQUEAVEL DE 1”,INCLUSIVE CONEXOES E EMENDAS,EXCLUSIVE ABERTURA E FECHAMENTO DE RASGO.FORNECIM ENTO E ASSENTAMENTO" xr:uid="{00000000-0004-0000-2500-000005000000}"/>
    <hyperlink ref="B2" location="'13.8.9'!A1" display="ELETRODUTO DE PVC RIGIDO ROSQUEAVEL DE 1”,INCLUSIVE CONEXOES E EMENDAS,EXCLUSIVE ABERTURA E FECHAMENTO DE RASGO.FORNECIM ENTO E ASSENTAMENTO" xr:uid="{00000000-0004-0000-2500-000006000000}"/>
    <hyperlink ref="C2" location="'13.8.9'!A1" display="ELETRODUTO DE PVC RIGIDO ROSQUEAVEL DE 1”,INCLUSIVE CONEXOES E EMENDAS,EXCLUSIVE ABERTURA E FECHAMENTO DE RASGO.FORNECIM ENTO E ASSENTAMENTO" xr:uid="{00000000-0004-0000-2500-000007000000}"/>
    <hyperlink ref="D2" location="'13.8.9'!A1" display="ELETRODUTO DE PVC RIGIDO ROSQUEAVEL DE 1”,INCLUSIVE CONEXOES E EMENDAS,EXCLUSIVE ABERTURA E FECHAMENTO DE RASGO.FORNECIM ENTO E ASSENTAMENTO" xr:uid="{00000000-0004-0000-2500-000008000000}"/>
    <hyperlink ref="E2" location="'13.8.9'!A1" display="ELETRODUTO DE PVC RIGIDO ROSQUEAVEL DE 1”,INCLUSIVE CONEXOES E EMENDAS,EXCLUSIVE ABERTURA E FECHAMENTO DE RASGO.FORNECIM ENTO E ASSENTAMENTO" xr:uid="{00000000-0004-0000-2500-000009000000}"/>
    <hyperlink ref="A4" location="'13.8.9'!A1" display="Conduites" xr:uid="{00000000-0004-0000-2500-00000A000000}"/>
    <hyperlink ref="B4" location="'13.8.9'!A1" display="Conduites" xr:uid="{00000000-0004-0000-2500-00000B000000}"/>
    <hyperlink ref="C4" location="'13.8.9'!A1" display="Conduites" xr:uid="{00000000-0004-0000-2500-00000C000000}"/>
    <hyperlink ref="D4" location="'13.8.9'!A1" display="Conduites" xr:uid="{00000000-0004-0000-2500-00000D000000}"/>
    <hyperlink ref="E4" location="'13.8.9'!A1" display="Conduites" xr:uid="{00000000-0004-0000-25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E27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54</v>
      </c>
      <c r="B1" s="23" t="s">
        <v>54</v>
      </c>
      <c r="C1" s="23" t="s">
        <v>54</v>
      </c>
      <c r="D1" s="23" t="s">
        <v>54</v>
      </c>
      <c r="E1" s="23" t="s">
        <v>54</v>
      </c>
    </row>
    <row r="2" spans="1:5">
      <c r="A2" s="23" t="s">
        <v>54</v>
      </c>
      <c r="B2" s="23" t="s">
        <v>54</v>
      </c>
      <c r="C2" s="23" t="s">
        <v>54</v>
      </c>
      <c r="D2" s="23" t="s">
        <v>54</v>
      </c>
      <c r="E2" s="23" t="s">
        <v>54</v>
      </c>
    </row>
    <row r="4" spans="1:5">
      <c r="A4" s="18" t="s">
        <v>174</v>
      </c>
      <c r="B4" s="18" t="s">
        <v>174</v>
      </c>
      <c r="C4" s="18" t="s">
        <v>174</v>
      </c>
      <c r="D4" s="18" t="s">
        <v>174</v>
      </c>
      <c r="E4" s="18" t="s">
        <v>174</v>
      </c>
    </row>
    <row r="5" spans="1:5">
      <c r="A5" s="24" t="s">
        <v>126</v>
      </c>
      <c r="B5" s="24" t="s">
        <v>126</v>
      </c>
      <c r="C5" s="24" t="s">
        <v>126</v>
      </c>
      <c r="D5" s="24" t="s">
        <v>126</v>
      </c>
      <c r="E5" s="24" t="s">
        <v>126</v>
      </c>
    </row>
    <row r="6" spans="1:5">
      <c r="A6" s="10" t="s">
        <v>232</v>
      </c>
      <c r="B6" s="10" t="s">
        <v>233</v>
      </c>
      <c r="C6" s="10" t="s">
        <v>234</v>
      </c>
      <c r="D6" s="10" t="s">
        <v>235</v>
      </c>
      <c r="E6" s="10" t="s">
        <v>236</v>
      </c>
    </row>
    <row r="7" spans="1:5" ht="24.75">
      <c r="A7" s="11" t="s">
        <v>237</v>
      </c>
      <c r="B7" s="11" t="s">
        <v>133</v>
      </c>
      <c r="C7" s="11" t="s">
        <v>177</v>
      </c>
      <c r="D7" s="11" t="s">
        <v>671</v>
      </c>
      <c r="E7" s="11">
        <v>1</v>
      </c>
    </row>
    <row r="8" spans="1:5" ht="24.75">
      <c r="A8" s="11" t="s">
        <v>237</v>
      </c>
      <c r="B8" s="11" t="s">
        <v>133</v>
      </c>
      <c r="C8" s="11" t="s">
        <v>177</v>
      </c>
      <c r="D8" s="11" t="s">
        <v>672</v>
      </c>
      <c r="E8" s="11">
        <v>1</v>
      </c>
    </row>
    <row r="9" spans="1:5" ht="24.75">
      <c r="A9" s="11" t="s">
        <v>237</v>
      </c>
      <c r="B9" s="11" t="s">
        <v>133</v>
      </c>
      <c r="C9" s="11" t="s">
        <v>177</v>
      </c>
      <c r="D9" s="11" t="s">
        <v>673</v>
      </c>
      <c r="E9" s="11">
        <v>1</v>
      </c>
    </row>
    <row r="10" spans="1:5">
      <c r="A10" s="1" t="s">
        <v>126</v>
      </c>
      <c r="B10" s="1" t="s">
        <v>126</v>
      </c>
      <c r="C10" s="1">
        <f>SUBTOTAL(103,Elements138101[Elemento])</f>
        <v>3</v>
      </c>
      <c r="D10" s="1" t="s">
        <v>126</v>
      </c>
      <c r="E10" s="1">
        <f>SUBTOTAL(109,Elements138101[Totais:])</f>
        <v>3</v>
      </c>
    </row>
    <row r="13" spans="1:5">
      <c r="A13" s="23" t="s">
        <v>54</v>
      </c>
      <c r="B13" s="23" t="s">
        <v>54</v>
      </c>
      <c r="C13" s="23" t="s">
        <v>54</v>
      </c>
      <c r="D13" s="23" t="s">
        <v>54</v>
      </c>
      <c r="E13" s="23" t="s">
        <v>54</v>
      </c>
    </row>
    <row r="14" spans="1:5">
      <c r="A14" s="23" t="s">
        <v>54</v>
      </c>
      <c r="B14" s="23" t="s">
        <v>54</v>
      </c>
      <c r="C14" s="23" t="s">
        <v>54</v>
      </c>
      <c r="D14" s="23" t="s">
        <v>54</v>
      </c>
      <c r="E14" s="23" t="s">
        <v>54</v>
      </c>
    </row>
    <row r="16" spans="1:5">
      <c r="A16" s="18" t="s">
        <v>175</v>
      </c>
      <c r="B16" s="18" t="s">
        <v>175</v>
      </c>
      <c r="C16" s="18" t="s">
        <v>175</v>
      </c>
      <c r="D16" s="18" t="s">
        <v>175</v>
      </c>
      <c r="E16" s="18" t="s">
        <v>175</v>
      </c>
    </row>
    <row r="17" spans="1:5">
      <c r="A17" s="24" t="s">
        <v>126</v>
      </c>
      <c r="B17" s="24" t="s">
        <v>126</v>
      </c>
      <c r="C17" s="24" t="s">
        <v>126</v>
      </c>
      <c r="D17" s="24" t="s">
        <v>126</v>
      </c>
      <c r="E17" s="24" t="s">
        <v>126</v>
      </c>
    </row>
    <row r="18" spans="1:5">
      <c r="A18" s="10" t="s">
        <v>232</v>
      </c>
      <c r="B18" s="10" t="s">
        <v>233</v>
      </c>
      <c r="C18" s="10" t="s">
        <v>234</v>
      </c>
      <c r="D18" s="10" t="s">
        <v>235</v>
      </c>
      <c r="E18" s="10" t="s">
        <v>236</v>
      </c>
    </row>
    <row r="19" spans="1:5" ht="24.75">
      <c r="A19" s="11" t="s">
        <v>237</v>
      </c>
      <c r="B19" s="11" t="s">
        <v>133</v>
      </c>
      <c r="C19" s="11" t="s">
        <v>180</v>
      </c>
      <c r="D19" s="11" t="s">
        <v>674</v>
      </c>
      <c r="E19" s="11">
        <v>1</v>
      </c>
    </row>
    <row r="20" spans="1:5" ht="24.75">
      <c r="A20" s="11" t="s">
        <v>237</v>
      </c>
      <c r="B20" s="11" t="s">
        <v>133</v>
      </c>
      <c r="C20" s="11" t="s">
        <v>180</v>
      </c>
      <c r="D20" s="11" t="s">
        <v>675</v>
      </c>
      <c r="E20" s="11">
        <v>1</v>
      </c>
    </row>
    <row r="21" spans="1:5" ht="24.75">
      <c r="A21" s="11" t="s">
        <v>237</v>
      </c>
      <c r="B21" s="11" t="s">
        <v>133</v>
      </c>
      <c r="C21" s="11" t="s">
        <v>180</v>
      </c>
      <c r="D21" s="11" t="s">
        <v>676</v>
      </c>
      <c r="E21" s="11">
        <v>1</v>
      </c>
    </row>
    <row r="22" spans="1:5" ht="24.75">
      <c r="A22" s="11" t="s">
        <v>237</v>
      </c>
      <c r="B22" s="11" t="s">
        <v>133</v>
      </c>
      <c r="C22" s="11" t="s">
        <v>180</v>
      </c>
      <c r="D22" s="11" t="s">
        <v>677</v>
      </c>
      <c r="E22" s="11">
        <v>1</v>
      </c>
    </row>
    <row r="23" spans="1:5" ht="24.75">
      <c r="A23" s="11" t="s">
        <v>237</v>
      </c>
      <c r="B23" s="11" t="s">
        <v>133</v>
      </c>
      <c r="C23" s="11" t="s">
        <v>180</v>
      </c>
      <c r="D23" s="11" t="s">
        <v>678</v>
      </c>
      <c r="E23" s="11">
        <v>1</v>
      </c>
    </row>
    <row r="24" spans="1:5" ht="24.75">
      <c r="A24" s="11" t="s">
        <v>237</v>
      </c>
      <c r="B24" s="11" t="s">
        <v>133</v>
      </c>
      <c r="C24" s="11" t="s">
        <v>180</v>
      </c>
      <c r="D24" s="11" t="s">
        <v>679</v>
      </c>
      <c r="E24" s="11">
        <v>1</v>
      </c>
    </row>
    <row r="25" spans="1:5" ht="24.75">
      <c r="A25" s="11" t="s">
        <v>237</v>
      </c>
      <c r="B25" s="11" t="s">
        <v>133</v>
      </c>
      <c r="C25" s="11" t="s">
        <v>180</v>
      </c>
      <c r="D25" s="11" t="s">
        <v>680</v>
      </c>
      <c r="E25" s="11">
        <v>1</v>
      </c>
    </row>
    <row r="26" spans="1:5" ht="24.75">
      <c r="A26" s="11" t="s">
        <v>237</v>
      </c>
      <c r="B26" s="11" t="s">
        <v>133</v>
      </c>
      <c r="C26" s="11" t="s">
        <v>180</v>
      </c>
      <c r="D26" s="11" t="s">
        <v>681</v>
      </c>
      <c r="E26" s="11">
        <v>1</v>
      </c>
    </row>
    <row r="27" spans="1:5">
      <c r="A27" s="1" t="s">
        <v>126</v>
      </c>
      <c r="B27" s="1" t="s">
        <v>126</v>
      </c>
      <c r="C27" s="1">
        <f>SUBTOTAL(103,Elements138102[Elemento])</f>
        <v>8</v>
      </c>
      <c r="D27" s="1" t="s">
        <v>126</v>
      </c>
      <c r="E27" s="1">
        <f>SUBTOTAL(109,Elements138102[Totais:])</f>
        <v>8</v>
      </c>
    </row>
  </sheetData>
  <mergeCells count="6">
    <mergeCell ref="A17:E17"/>
    <mergeCell ref="A1:E2"/>
    <mergeCell ref="A4:E4"/>
    <mergeCell ref="A5:E5"/>
    <mergeCell ref="A13:E14"/>
    <mergeCell ref="A16:E16"/>
  </mergeCells>
  <hyperlinks>
    <hyperlink ref="A1" location="'13.8.10'!A1" display="INSTALACAO DE PONTO PARA ANTENA DE TV OU SISTEMA DE CFTV,COM PREENDENDO: 1 VARA DE ELETRODUTO DE 3/4”,CONEXOES E CAIXAS,E XCLUSIVE CABOS OU FIOS" xr:uid="{00000000-0004-0000-2600-000000000000}"/>
    <hyperlink ref="B1" location="'13.8.10'!A1" display="INSTALACAO DE PONTO PARA ANTENA DE TV OU SISTEMA DE CFTV,COM PREENDENDO: 1 VARA DE ELETRODUTO DE 3/4”,CONEXOES E CAIXAS,E XCLUSIVE CABOS OU FIOS" xr:uid="{00000000-0004-0000-2600-000001000000}"/>
    <hyperlink ref="C1" location="'13.8.10'!A1" display="INSTALACAO DE PONTO PARA ANTENA DE TV OU SISTEMA DE CFTV,COM PREENDENDO: 1 VARA DE ELETRODUTO DE 3/4”,CONEXOES E CAIXAS,E XCLUSIVE CABOS OU FIOS" xr:uid="{00000000-0004-0000-2600-000002000000}"/>
    <hyperlink ref="D1" location="'13.8.10'!A1" display="INSTALACAO DE PONTO PARA ANTENA DE TV OU SISTEMA DE CFTV,COM PREENDENDO: 1 VARA DE ELETRODUTO DE 3/4”,CONEXOES E CAIXAS,E XCLUSIVE CABOS OU FIOS" xr:uid="{00000000-0004-0000-2600-000003000000}"/>
    <hyperlink ref="E1" location="'13.8.10'!A1" display="INSTALACAO DE PONTO PARA ANTENA DE TV OU SISTEMA DE CFTV,COM PREENDENDO: 1 VARA DE ELETRODUTO DE 3/4”,CONEXOES E CAIXAS,E XCLUSIVE CABOS OU FIOS" xr:uid="{00000000-0004-0000-2600-000004000000}"/>
    <hyperlink ref="A2" location="'13.8.10'!A1" display="INSTALACAO DE PONTO PARA ANTENA DE TV OU SISTEMA DE CFTV,COM PREENDENDO: 1 VARA DE ELETRODUTO DE 3/4”,CONEXOES E CAIXAS,E XCLUSIVE CABOS OU FIOS" xr:uid="{00000000-0004-0000-2600-000005000000}"/>
    <hyperlink ref="B2" location="'13.8.10'!A1" display="INSTALACAO DE PONTO PARA ANTENA DE TV OU SISTEMA DE CFTV,COM PREENDENDO: 1 VARA DE ELETRODUTO DE 3/4”,CONEXOES E CAIXAS,E XCLUSIVE CABOS OU FIOS" xr:uid="{00000000-0004-0000-2600-000006000000}"/>
    <hyperlink ref="C2" location="'13.8.10'!A1" display="INSTALACAO DE PONTO PARA ANTENA DE TV OU SISTEMA DE CFTV,COM PREENDENDO: 1 VARA DE ELETRODUTO DE 3/4”,CONEXOES E CAIXAS,E XCLUSIVE CABOS OU FIOS" xr:uid="{00000000-0004-0000-2600-000007000000}"/>
    <hyperlink ref="D2" location="'13.8.10'!A1" display="INSTALACAO DE PONTO PARA ANTENA DE TV OU SISTEMA DE CFTV,COM PREENDENDO: 1 VARA DE ELETRODUTO DE 3/4”,CONEXOES E CAIXAS,E XCLUSIVE CABOS OU FIOS" xr:uid="{00000000-0004-0000-2600-000008000000}"/>
    <hyperlink ref="E2" location="'13.8.10'!A1" display="INSTALACAO DE PONTO PARA ANTENA DE TV OU SISTEMA DE CFTV,COM PREENDENDO: 1 VARA DE ELETRODUTO DE 3/4”,CONEXOES E CAIXAS,E XCLUSIVE CABOS OU FIOS" xr:uid="{00000000-0004-0000-2600-000009000000}"/>
    <hyperlink ref="A4" location="'13.8.10'!A1" display="Dispositivos de segurança (Altura)" xr:uid="{00000000-0004-0000-2600-00000A000000}"/>
    <hyperlink ref="B4" location="'13.8.10'!A1" display="Dispositivos de segurança (Altura)" xr:uid="{00000000-0004-0000-2600-00000B000000}"/>
    <hyperlink ref="C4" location="'13.8.10'!A1" display="Dispositivos de segurança (Altura)" xr:uid="{00000000-0004-0000-2600-00000C000000}"/>
    <hyperlink ref="D4" location="'13.8.10'!A1" display="Dispositivos de segurança (Altura)" xr:uid="{00000000-0004-0000-2600-00000D000000}"/>
    <hyperlink ref="E4" location="'13.8.10'!A1" display="Dispositivos de segurança (Altura)" xr:uid="{00000000-0004-0000-2600-00000E000000}"/>
    <hyperlink ref="A13" location="'13.8.10'!A1" display="INSTALACAO DE PONTO PARA ANTENA DE TV OU SISTEMA DE CFTV,COM PREENDENDO: 1 VARA DE ELETRODUTO DE 3/4”,CONEXOES E CAIXAS,E XCLUSIVE CABOS OU FIOS" xr:uid="{00000000-0004-0000-2600-00000F000000}"/>
    <hyperlink ref="B13" location="'13.8.10'!A1" display="INSTALACAO DE PONTO PARA ANTENA DE TV OU SISTEMA DE CFTV,COM PREENDENDO: 1 VARA DE ELETRODUTO DE 3/4”,CONEXOES E CAIXAS,E XCLUSIVE CABOS OU FIOS" xr:uid="{00000000-0004-0000-2600-000010000000}"/>
    <hyperlink ref="C13" location="'13.8.10'!A1" display="INSTALACAO DE PONTO PARA ANTENA DE TV OU SISTEMA DE CFTV,COM PREENDENDO: 1 VARA DE ELETRODUTO DE 3/4”,CONEXOES E CAIXAS,E XCLUSIVE CABOS OU FIOS" xr:uid="{00000000-0004-0000-2600-000011000000}"/>
    <hyperlink ref="D13" location="'13.8.10'!A1" display="INSTALACAO DE PONTO PARA ANTENA DE TV OU SISTEMA DE CFTV,COM PREENDENDO: 1 VARA DE ELETRODUTO DE 3/4”,CONEXOES E CAIXAS,E XCLUSIVE CABOS OU FIOS" xr:uid="{00000000-0004-0000-2600-000012000000}"/>
    <hyperlink ref="E13" location="'13.8.10'!A1" display="INSTALACAO DE PONTO PARA ANTENA DE TV OU SISTEMA DE CFTV,COM PREENDENDO: 1 VARA DE ELETRODUTO DE 3/4”,CONEXOES E CAIXAS,E XCLUSIVE CABOS OU FIOS" xr:uid="{00000000-0004-0000-2600-000013000000}"/>
    <hyperlink ref="A14" location="'13.8.10'!A1" display="INSTALACAO DE PONTO PARA ANTENA DE TV OU SISTEMA DE CFTV,COM PREENDENDO: 1 VARA DE ELETRODUTO DE 3/4”,CONEXOES E CAIXAS,E XCLUSIVE CABOS OU FIOS" xr:uid="{00000000-0004-0000-2600-000014000000}"/>
    <hyperlink ref="B14" location="'13.8.10'!A1" display="INSTALACAO DE PONTO PARA ANTENA DE TV OU SISTEMA DE CFTV,COM PREENDENDO: 1 VARA DE ELETRODUTO DE 3/4”,CONEXOES E CAIXAS,E XCLUSIVE CABOS OU FIOS" xr:uid="{00000000-0004-0000-2600-000015000000}"/>
    <hyperlink ref="C14" location="'13.8.10'!A1" display="INSTALACAO DE PONTO PARA ANTENA DE TV OU SISTEMA DE CFTV,COM PREENDENDO: 1 VARA DE ELETRODUTO DE 3/4”,CONEXOES E CAIXAS,E XCLUSIVE CABOS OU FIOS" xr:uid="{00000000-0004-0000-2600-000016000000}"/>
    <hyperlink ref="D14" location="'13.8.10'!A1" display="INSTALACAO DE PONTO PARA ANTENA DE TV OU SISTEMA DE CFTV,COM PREENDENDO: 1 VARA DE ELETRODUTO DE 3/4”,CONEXOES E CAIXAS,E XCLUSIVE CABOS OU FIOS" xr:uid="{00000000-0004-0000-2600-000017000000}"/>
    <hyperlink ref="E14" location="'13.8.10'!A1" display="INSTALACAO DE PONTO PARA ANTENA DE TV OU SISTEMA DE CFTV,COM PREENDENDO: 1 VARA DE ELETRODUTO DE 3/4”,CONEXOES E CAIXAS,E XCLUSIVE CABOS OU FIOS" xr:uid="{00000000-0004-0000-2600-000018000000}"/>
    <hyperlink ref="A16" location="'13.8.10'!A1" display="Dispositivos de dados (A1)" xr:uid="{00000000-0004-0000-2600-000019000000}"/>
    <hyperlink ref="B16" location="'13.8.10'!A1" display="Dispositivos de dados (A1)" xr:uid="{00000000-0004-0000-2600-00001A000000}"/>
    <hyperlink ref="C16" location="'13.8.10'!A1" display="Dispositivos de dados (A1)" xr:uid="{00000000-0004-0000-2600-00001B000000}"/>
    <hyperlink ref="D16" location="'13.8.10'!A1" display="Dispositivos de dados (A1)" xr:uid="{00000000-0004-0000-2600-00001C000000}"/>
    <hyperlink ref="E16" location="'13.8.10'!A1" display="Dispositivos de dados (A1)" xr:uid="{00000000-0004-0000-2600-00001D000000}"/>
  </hyperlinks>
  <pageMargins left="0.511811024" right="0.511811024" top="0.78740157499999996" bottom="0.78740157499999996" header="0.31496062000000002" footer="0.31496062000000002"/>
  <tableParts count="2">
    <tablePart r:id="rId1"/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DFF0D8"/>
  </sheetPr>
  <dimension ref="A1:I28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 ht="24.75">
      <c r="A2" s="6" t="s">
        <v>17</v>
      </c>
      <c r="B2" s="6" t="s">
        <v>18</v>
      </c>
      <c r="C2" s="6" t="s">
        <v>13</v>
      </c>
      <c r="D2" s="6" t="s">
        <v>19</v>
      </c>
      <c r="E2" s="6" t="s">
        <v>15</v>
      </c>
      <c r="F2" s="6" t="s">
        <v>148</v>
      </c>
      <c r="G2" s="6">
        <v>95.594899999999996</v>
      </c>
      <c r="H2" s="6">
        <v>114.57048765</v>
      </c>
      <c r="I2" s="6">
        <v>7378.3394046600006</v>
      </c>
    </row>
    <row r="5" spans="1:9">
      <c r="A5" s="16" t="s">
        <v>120</v>
      </c>
      <c r="B5" s="16" t="s">
        <v>120</v>
      </c>
      <c r="C5" s="16" t="s">
        <v>120</v>
      </c>
      <c r="D5" s="16" t="s">
        <v>120</v>
      </c>
      <c r="E5" s="16" t="s">
        <v>120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121</v>
      </c>
      <c r="C7" s="10" t="s">
        <v>122</v>
      </c>
      <c r="D7" s="10" t="s">
        <v>123</v>
      </c>
      <c r="E7" s="10" t="s">
        <v>9</v>
      </c>
    </row>
    <row r="8" spans="1:9">
      <c r="A8" s="11">
        <v>1</v>
      </c>
      <c r="B8" s="11" t="s">
        <v>124</v>
      </c>
      <c r="C8" s="11">
        <v>40</v>
      </c>
      <c r="D8" s="11" t="s">
        <v>125</v>
      </c>
      <c r="E8" s="11">
        <v>64.396438984906283</v>
      </c>
    </row>
    <row r="9" spans="1:9">
      <c r="A9" s="11" t="s">
        <v>126</v>
      </c>
      <c r="B9" s="11" t="s">
        <v>126</v>
      </c>
      <c r="C9" s="11">
        <f>SUBTOTAL(109,Criteria_Summary13.8.2[Elementos])</f>
        <v>40</v>
      </c>
      <c r="D9" s="11" t="s">
        <v>126</v>
      </c>
      <c r="E9" s="11">
        <f>SUBTOTAL(109,Criteria_Summary13.8.2[Total])</f>
        <v>64.396438984906283</v>
      </c>
    </row>
    <row r="10" spans="1:9">
      <c r="A10" s="12" t="s">
        <v>127</v>
      </c>
      <c r="B10" s="12">
        <v>0</v>
      </c>
      <c r="C10" s="13"/>
      <c r="D10" s="13"/>
      <c r="E10" s="12">
        <v>64.400000000000006</v>
      </c>
    </row>
    <row r="13" spans="1:9">
      <c r="A13" s="18" t="s">
        <v>125</v>
      </c>
      <c r="B13" s="18" t="s">
        <v>125</v>
      </c>
      <c r="C13" s="18" t="s">
        <v>125</v>
      </c>
      <c r="D13" s="18" t="s">
        <v>125</v>
      </c>
      <c r="E13" s="18" t="s">
        <v>125</v>
      </c>
    </row>
    <row r="14" spans="1:9">
      <c r="A14" s="19"/>
      <c r="B14" s="19"/>
      <c r="C14" s="19"/>
      <c r="D14" s="19"/>
      <c r="E14" s="19"/>
    </row>
    <row r="15" spans="1:9">
      <c r="A15" s="14" t="s">
        <v>121</v>
      </c>
      <c r="B15" s="14" t="s">
        <v>122</v>
      </c>
      <c r="C15" s="20" t="s">
        <v>128</v>
      </c>
      <c r="D15" s="20" t="s">
        <v>128</v>
      </c>
      <c r="E15" s="14" t="s">
        <v>9</v>
      </c>
    </row>
    <row r="16" spans="1:9">
      <c r="A16" s="11" t="s">
        <v>124</v>
      </c>
      <c r="B16" s="11">
        <v>40</v>
      </c>
      <c r="C16" s="21" t="s">
        <v>129</v>
      </c>
      <c r="D16" s="21" t="s">
        <v>129</v>
      </c>
      <c r="E16" s="11">
        <v>64.396438984906283</v>
      </c>
    </row>
    <row r="18" spans="1:5">
      <c r="A18" s="22" t="s">
        <v>130</v>
      </c>
      <c r="B18" s="22" t="s">
        <v>130</v>
      </c>
      <c r="C18" s="22" t="s">
        <v>130</v>
      </c>
      <c r="D18" s="22" t="s">
        <v>130</v>
      </c>
      <c r="E18" s="22" t="s">
        <v>130</v>
      </c>
    </row>
    <row r="19" spans="1:5">
      <c r="A19" s="20" t="s">
        <v>131</v>
      </c>
      <c r="B19" s="20" t="s">
        <v>131</v>
      </c>
      <c r="C19" s="20" t="s">
        <v>131</v>
      </c>
      <c r="D19" s="14" t="s">
        <v>132</v>
      </c>
      <c r="E19" s="14"/>
    </row>
    <row r="20" spans="1:5">
      <c r="A20" s="11"/>
      <c r="B20" s="11"/>
      <c r="C20" s="11"/>
      <c r="D20" s="11" t="s">
        <v>133</v>
      </c>
      <c r="E20" s="11" t="s">
        <v>134</v>
      </c>
    </row>
    <row r="22" spans="1:5">
      <c r="A22" s="22" t="s">
        <v>135</v>
      </c>
      <c r="B22" s="22" t="s">
        <v>135</v>
      </c>
      <c r="C22" s="22" t="s">
        <v>135</v>
      </c>
      <c r="D22" s="22" t="s">
        <v>135</v>
      </c>
      <c r="E22" s="22" t="s">
        <v>135</v>
      </c>
    </row>
    <row r="23" spans="1:5">
      <c r="A23" s="20" t="s">
        <v>136</v>
      </c>
      <c r="B23" s="14"/>
      <c r="C23" s="14"/>
      <c r="D23" s="14" t="s">
        <v>121</v>
      </c>
      <c r="E23" s="14"/>
    </row>
    <row r="24" spans="1:5">
      <c r="A24" s="21" t="s">
        <v>137</v>
      </c>
      <c r="B24" s="21" t="s">
        <v>137</v>
      </c>
      <c r="C24" s="21" t="s">
        <v>137</v>
      </c>
      <c r="D24" s="11" t="s">
        <v>138</v>
      </c>
      <c r="E24" s="11" t="s">
        <v>134</v>
      </c>
    </row>
    <row r="26" spans="1:5">
      <c r="A26" s="22" t="s">
        <v>139</v>
      </c>
      <c r="B26" s="22" t="s">
        <v>139</v>
      </c>
      <c r="C26" s="22" t="s">
        <v>139</v>
      </c>
      <c r="D26" s="22" t="s">
        <v>139</v>
      </c>
      <c r="E26" s="22" t="s">
        <v>139</v>
      </c>
    </row>
    <row r="27" spans="1:5">
      <c r="A27" s="14" t="s">
        <v>121</v>
      </c>
      <c r="B27" s="14" t="s">
        <v>140</v>
      </c>
      <c r="C27" s="14" t="s">
        <v>141</v>
      </c>
      <c r="D27" s="14" t="s">
        <v>142</v>
      </c>
      <c r="E27" s="14"/>
    </row>
    <row r="28" spans="1:5">
      <c r="A28" s="11" t="s">
        <v>143</v>
      </c>
      <c r="B28" s="11" t="s">
        <v>144</v>
      </c>
      <c r="C28" s="11" t="s">
        <v>149</v>
      </c>
      <c r="D28" s="11" t="s">
        <v>146</v>
      </c>
      <c r="E28" s="11" t="s">
        <v>147</v>
      </c>
    </row>
  </sheetData>
  <mergeCells count="12">
    <mergeCell ref="A24:C24"/>
    <mergeCell ref="A26:E26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8'!A1" display="13.8.2" xr:uid="{00000000-0004-0000-0300-000000000000}"/>
    <hyperlink ref="F2" location="'13.8.2E'!A1" display="64,4" xr:uid="{00000000-0004-0000-0300-000001000000}"/>
    <hyperlink ref="E10" location="'13.8.2E'!A1" display="'13.8.2E'!A1" xr:uid="{00000000-0004-0000-03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A1:E125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58</v>
      </c>
      <c r="B1" s="23" t="s">
        <v>58</v>
      </c>
      <c r="C1" s="23" t="s">
        <v>58</v>
      </c>
      <c r="D1" s="23" t="s">
        <v>58</v>
      </c>
      <c r="E1" s="23" t="s">
        <v>58</v>
      </c>
    </row>
    <row r="2" spans="1:5">
      <c r="A2" s="23" t="s">
        <v>58</v>
      </c>
      <c r="B2" s="23" t="s">
        <v>58</v>
      </c>
      <c r="C2" s="23" t="s">
        <v>58</v>
      </c>
      <c r="D2" s="23" t="s">
        <v>58</v>
      </c>
      <c r="E2" s="23" t="s">
        <v>58</v>
      </c>
    </row>
    <row r="4" spans="1:5">
      <c r="A4" s="18" t="s">
        <v>163</v>
      </c>
      <c r="B4" s="18" t="s">
        <v>163</v>
      </c>
      <c r="C4" s="18" t="s">
        <v>163</v>
      </c>
      <c r="D4" s="18" t="s">
        <v>163</v>
      </c>
      <c r="E4" s="18" t="s">
        <v>163</v>
      </c>
    </row>
    <row r="5" spans="1:5">
      <c r="A5" s="24" t="s">
        <v>126</v>
      </c>
      <c r="B5" s="24" t="s">
        <v>126</v>
      </c>
      <c r="C5" s="24" t="s">
        <v>126</v>
      </c>
      <c r="D5" s="24" t="s">
        <v>126</v>
      </c>
      <c r="E5" s="24" t="s">
        <v>126</v>
      </c>
    </row>
    <row r="6" spans="1:5">
      <c r="A6" s="10" t="s">
        <v>232</v>
      </c>
      <c r="B6" s="10" t="s">
        <v>233</v>
      </c>
      <c r="C6" s="10" t="s">
        <v>234</v>
      </c>
      <c r="D6" s="10" t="s">
        <v>235</v>
      </c>
      <c r="E6" s="10" t="s">
        <v>236</v>
      </c>
    </row>
    <row r="7" spans="1:5" ht="24.75">
      <c r="A7" s="11" t="s">
        <v>237</v>
      </c>
      <c r="B7" s="11" t="s">
        <v>133</v>
      </c>
      <c r="C7" s="11" t="s">
        <v>183</v>
      </c>
      <c r="D7" s="11" t="s">
        <v>682</v>
      </c>
      <c r="E7" s="11">
        <v>1</v>
      </c>
    </row>
    <row r="8" spans="1:5" ht="24.75">
      <c r="A8" s="11" t="s">
        <v>237</v>
      </c>
      <c r="B8" s="11" t="s">
        <v>133</v>
      </c>
      <c r="C8" s="11" t="s">
        <v>183</v>
      </c>
      <c r="D8" s="11" t="s">
        <v>683</v>
      </c>
      <c r="E8" s="11">
        <v>1</v>
      </c>
    </row>
    <row r="9" spans="1:5" ht="24.75">
      <c r="A9" s="11" t="s">
        <v>237</v>
      </c>
      <c r="B9" s="11" t="s">
        <v>133</v>
      </c>
      <c r="C9" s="11" t="s">
        <v>183</v>
      </c>
      <c r="D9" s="11" t="s">
        <v>684</v>
      </c>
      <c r="E9" s="11">
        <v>1</v>
      </c>
    </row>
    <row r="10" spans="1:5" ht="24.75">
      <c r="A10" s="11" t="s">
        <v>237</v>
      </c>
      <c r="B10" s="11" t="s">
        <v>133</v>
      </c>
      <c r="C10" s="11" t="s">
        <v>183</v>
      </c>
      <c r="D10" s="11" t="s">
        <v>685</v>
      </c>
      <c r="E10" s="11">
        <v>1</v>
      </c>
    </row>
    <row r="11" spans="1:5" ht="24.75">
      <c r="A11" s="11" t="s">
        <v>237</v>
      </c>
      <c r="B11" s="11" t="s">
        <v>133</v>
      </c>
      <c r="C11" s="11" t="s">
        <v>183</v>
      </c>
      <c r="D11" s="11" t="s">
        <v>686</v>
      </c>
      <c r="E11" s="11">
        <v>1</v>
      </c>
    </row>
    <row r="12" spans="1:5" ht="24.75">
      <c r="A12" s="11" t="s">
        <v>237</v>
      </c>
      <c r="B12" s="11" t="s">
        <v>133</v>
      </c>
      <c r="C12" s="11" t="s">
        <v>183</v>
      </c>
      <c r="D12" s="11" t="s">
        <v>687</v>
      </c>
      <c r="E12" s="11">
        <v>1</v>
      </c>
    </row>
    <row r="13" spans="1:5" ht="24.75">
      <c r="A13" s="11" t="s">
        <v>237</v>
      </c>
      <c r="B13" s="11" t="s">
        <v>133</v>
      </c>
      <c r="C13" s="11" t="s">
        <v>183</v>
      </c>
      <c r="D13" s="11" t="s">
        <v>688</v>
      </c>
      <c r="E13" s="11">
        <v>1</v>
      </c>
    </row>
    <row r="14" spans="1:5" ht="24.75">
      <c r="A14" s="11" t="s">
        <v>237</v>
      </c>
      <c r="B14" s="11" t="s">
        <v>133</v>
      </c>
      <c r="C14" s="11" t="s">
        <v>183</v>
      </c>
      <c r="D14" s="11" t="s">
        <v>689</v>
      </c>
      <c r="E14" s="11">
        <v>1</v>
      </c>
    </row>
    <row r="15" spans="1:5" ht="24.75">
      <c r="A15" s="11" t="s">
        <v>237</v>
      </c>
      <c r="B15" s="11" t="s">
        <v>133</v>
      </c>
      <c r="C15" s="11" t="s">
        <v>183</v>
      </c>
      <c r="D15" s="11" t="s">
        <v>690</v>
      </c>
      <c r="E15" s="11">
        <v>1</v>
      </c>
    </row>
    <row r="16" spans="1:5" ht="24.75">
      <c r="A16" s="11" t="s">
        <v>237</v>
      </c>
      <c r="B16" s="11" t="s">
        <v>133</v>
      </c>
      <c r="C16" s="11" t="s">
        <v>183</v>
      </c>
      <c r="D16" s="11" t="s">
        <v>691</v>
      </c>
      <c r="E16" s="11">
        <v>1</v>
      </c>
    </row>
    <row r="17" spans="1:5" ht="24.75">
      <c r="A17" s="11" t="s">
        <v>237</v>
      </c>
      <c r="B17" s="11" t="s">
        <v>133</v>
      </c>
      <c r="C17" s="11" t="s">
        <v>183</v>
      </c>
      <c r="D17" s="11" t="s">
        <v>692</v>
      </c>
      <c r="E17" s="11">
        <v>1</v>
      </c>
    </row>
    <row r="18" spans="1:5" ht="24.75">
      <c r="A18" s="11" t="s">
        <v>237</v>
      </c>
      <c r="B18" s="11" t="s">
        <v>133</v>
      </c>
      <c r="C18" s="11" t="s">
        <v>183</v>
      </c>
      <c r="D18" s="11" t="s">
        <v>693</v>
      </c>
      <c r="E18" s="11">
        <v>1</v>
      </c>
    </row>
    <row r="19" spans="1:5" ht="24.75">
      <c r="A19" s="11" t="s">
        <v>237</v>
      </c>
      <c r="B19" s="11" t="s">
        <v>133</v>
      </c>
      <c r="C19" s="11" t="s">
        <v>183</v>
      </c>
      <c r="D19" s="11" t="s">
        <v>694</v>
      </c>
      <c r="E19" s="11">
        <v>1</v>
      </c>
    </row>
    <row r="20" spans="1:5" ht="24.75">
      <c r="A20" s="11" t="s">
        <v>237</v>
      </c>
      <c r="B20" s="11" t="s">
        <v>133</v>
      </c>
      <c r="C20" s="11" t="s">
        <v>183</v>
      </c>
      <c r="D20" s="11" t="s">
        <v>695</v>
      </c>
      <c r="E20" s="11">
        <v>1</v>
      </c>
    </row>
    <row r="21" spans="1:5" ht="24.75">
      <c r="A21" s="11" t="s">
        <v>237</v>
      </c>
      <c r="B21" s="11" t="s">
        <v>133</v>
      </c>
      <c r="C21" s="11" t="s">
        <v>183</v>
      </c>
      <c r="D21" s="11" t="s">
        <v>696</v>
      </c>
      <c r="E21" s="11">
        <v>1</v>
      </c>
    </row>
    <row r="22" spans="1:5" ht="24.75">
      <c r="A22" s="11" t="s">
        <v>237</v>
      </c>
      <c r="B22" s="11" t="s">
        <v>133</v>
      </c>
      <c r="C22" s="11" t="s">
        <v>183</v>
      </c>
      <c r="D22" s="11" t="s">
        <v>697</v>
      </c>
      <c r="E22" s="11">
        <v>1</v>
      </c>
    </row>
    <row r="23" spans="1:5" ht="24.75">
      <c r="A23" s="11" t="s">
        <v>237</v>
      </c>
      <c r="B23" s="11" t="s">
        <v>133</v>
      </c>
      <c r="C23" s="11" t="s">
        <v>183</v>
      </c>
      <c r="D23" s="11" t="s">
        <v>698</v>
      </c>
      <c r="E23" s="11">
        <v>1</v>
      </c>
    </row>
    <row r="24" spans="1:5" ht="24.75">
      <c r="A24" s="11" t="s">
        <v>237</v>
      </c>
      <c r="B24" s="11" t="s">
        <v>133</v>
      </c>
      <c r="C24" s="11" t="s">
        <v>183</v>
      </c>
      <c r="D24" s="11" t="s">
        <v>699</v>
      </c>
      <c r="E24" s="11">
        <v>1</v>
      </c>
    </row>
    <row r="25" spans="1:5" ht="24.75">
      <c r="A25" s="11" t="s">
        <v>237</v>
      </c>
      <c r="B25" s="11" t="s">
        <v>133</v>
      </c>
      <c r="C25" s="11" t="s">
        <v>183</v>
      </c>
      <c r="D25" s="11" t="s">
        <v>700</v>
      </c>
      <c r="E25" s="11">
        <v>1</v>
      </c>
    </row>
    <row r="26" spans="1:5" ht="24.75">
      <c r="A26" s="11" t="s">
        <v>237</v>
      </c>
      <c r="B26" s="11" t="s">
        <v>133</v>
      </c>
      <c r="C26" s="11" t="s">
        <v>183</v>
      </c>
      <c r="D26" s="11" t="s">
        <v>701</v>
      </c>
      <c r="E26" s="11">
        <v>1</v>
      </c>
    </row>
    <row r="27" spans="1:5" ht="24.75">
      <c r="A27" s="11" t="s">
        <v>237</v>
      </c>
      <c r="B27" s="11" t="s">
        <v>133</v>
      </c>
      <c r="C27" s="11" t="s">
        <v>183</v>
      </c>
      <c r="D27" s="11" t="s">
        <v>702</v>
      </c>
      <c r="E27" s="11">
        <v>1</v>
      </c>
    </row>
    <row r="28" spans="1:5" ht="24.75">
      <c r="A28" s="11" t="s">
        <v>237</v>
      </c>
      <c r="B28" s="11" t="s">
        <v>133</v>
      </c>
      <c r="C28" s="11" t="s">
        <v>183</v>
      </c>
      <c r="D28" s="11" t="s">
        <v>703</v>
      </c>
      <c r="E28" s="11">
        <v>1</v>
      </c>
    </row>
    <row r="29" spans="1:5" ht="24.75">
      <c r="A29" s="11" t="s">
        <v>237</v>
      </c>
      <c r="B29" s="11" t="s">
        <v>133</v>
      </c>
      <c r="C29" s="11" t="s">
        <v>183</v>
      </c>
      <c r="D29" s="11" t="s">
        <v>704</v>
      </c>
      <c r="E29" s="11">
        <v>1</v>
      </c>
    </row>
    <row r="30" spans="1:5" ht="24.75">
      <c r="A30" s="11" t="s">
        <v>237</v>
      </c>
      <c r="B30" s="11" t="s">
        <v>133</v>
      </c>
      <c r="C30" s="11" t="s">
        <v>183</v>
      </c>
      <c r="D30" s="11" t="s">
        <v>705</v>
      </c>
      <c r="E30" s="11">
        <v>1</v>
      </c>
    </row>
    <row r="31" spans="1:5" ht="24.75">
      <c r="A31" s="11" t="s">
        <v>237</v>
      </c>
      <c r="B31" s="11" t="s">
        <v>133</v>
      </c>
      <c r="C31" s="11" t="s">
        <v>183</v>
      </c>
      <c r="D31" s="11" t="s">
        <v>706</v>
      </c>
      <c r="E31" s="11">
        <v>1</v>
      </c>
    </row>
    <row r="32" spans="1:5" ht="24.75">
      <c r="A32" s="11" t="s">
        <v>237</v>
      </c>
      <c r="B32" s="11" t="s">
        <v>133</v>
      </c>
      <c r="C32" s="11" t="s">
        <v>183</v>
      </c>
      <c r="D32" s="11" t="s">
        <v>707</v>
      </c>
      <c r="E32" s="11">
        <v>1</v>
      </c>
    </row>
    <row r="33" spans="1:5" ht="24.75">
      <c r="A33" s="11" t="s">
        <v>237</v>
      </c>
      <c r="B33" s="11" t="s">
        <v>133</v>
      </c>
      <c r="C33" s="11" t="s">
        <v>183</v>
      </c>
      <c r="D33" s="11" t="s">
        <v>708</v>
      </c>
      <c r="E33" s="11">
        <v>1</v>
      </c>
    </row>
    <row r="34" spans="1:5" ht="24.75">
      <c r="A34" s="11" t="s">
        <v>237</v>
      </c>
      <c r="B34" s="11" t="s">
        <v>133</v>
      </c>
      <c r="C34" s="11" t="s">
        <v>183</v>
      </c>
      <c r="D34" s="11" t="s">
        <v>709</v>
      </c>
      <c r="E34" s="11">
        <v>1</v>
      </c>
    </row>
    <row r="35" spans="1:5" ht="24.75">
      <c r="A35" s="11" t="s">
        <v>237</v>
      </c>
      <c r="B35" s="11" t="s">
        <v>133</v>
      </c>
      <c r="C35" s="11" t="s">
        <v>183</v>
      </c>
      <c r="D35" s="11" t="s">
        <v>710</v>
      </c>
      <c r="E35" s="11">
        <v>1</v>
      </c>
    </row>
    <row r="36" spans="1:5" ht="24.75">
      <c r="A36" s="11" t="s">
        <v>237</v>
      </c>
      <c r="B36" s="11" t="s">
        <v>133</v>
      </c>
      <c r="C36" s="11" t="s">
        <v>183</v>
      </c>
      <c r="D36" s="11" t="s">
        <v>711</v>
      </c>
      <c r="E36" s="11">
        <v>1</v>
      </c>
    </row>
    <row r="37" spans="1:5" ht="24.75">
      <c r="A37" s="11" t="s">
        <v>237</v>
      </c>
      <c r="B37" s="11" t="s">
        <v>133</v>
      </c>
      <c r="C37" s="11" t="s">
        <v>183</v>
      </c>
      <c r="D37" s="11" t="s">
        <v>712</v>
      </c>
      <c r="E37" s="11">
        <v>1</v>
      </c>
    </row>
    <row r="38" spans="1:5" ht="24.75">
      <c r="A38" s="11" t="s">
        <v>237</v>
      </c>
      <c r="B38" s="11" t="s">
        <v>133</v>
      </c>
      <c r="C38" s="11" t="s">
        <v>183</v>
      </c>
      <c r="D38" s="11" t="s">
        <v>713</v>
      </c>
      <c r="E38" s="11">
        <v>1</v>
      </c>
    </row>
    <row r="39" spans="1:5" ht="24.75">
      <c r="A39" s="11" t="s">
        <v>237</v>
      </c>
      <c r="B39" s="11" t="s">
        <v>133</v>
      </c>
      <c r="C39" s="11" t="s">
        <v>183</v>
      </c>
      <c r="D39" s="11" t="s">
        <v>714</v>
      </c>
      <c r="E39" s="11">
        <v>1</v>
      </c>
    </row>
    <row r="40" spans="1:5" ht="24.75">
      <c r="A40" s="11" t="s">
        <v>237</v>
      </c>
      <c r="B40" s="11" t="s">
        <v>133</v>
      </c>
      <c r="C40" s="11" t="s">
        <v>183</v>
      </c>
      <c r="D40" s="11" t="s">
        <v>715</v>
      </c>
      <c r="E40" s="11">
        <v>1</v>
      </c>
    </row>
    <row r="41" spans="1:5" ht="24.75">
      <c r="A41" s="11" t="s">
        <v>237</v>
      </c>
      <c r="B41" s="11" t="s">
        <v>133</v>
      </c>
      <c r="C41" s="11" t="s">
        <v>183</v>
      </c>
      <c r="D41" s="11" t="s">
        <v>716</v>
      </c>
      <c r="E41" s="11">
        <v>1</v>
      </c>
    </row>
    <row r="42" spans="1:5" ht="24.75">
      <c r="A42" s="11" t="s">
        <v>237</v>
      </c>
      <c r="B42" s="11" t="s">
        <v>133</v>
      </c>
      <c r="C42" s="11" t="s">
        <v>183</v>
      </c>
      <c r="D42" s="11" t="s">
        <v>717</v>
      </c>
      <c r="E42" s="11">
        <v>1</v>
      </c>
    </row>
    <row r="43" spans="1:5" ht="24.75">
      <c r="A43" s="11" t="s">
        <v>237</v>
      </c>
      <c r="B43" s="11" t="s">
        <v>133</v>
      </c>
      <c r="C43" s="11" t="s">
        <v>183</v>
      </c>
      <c r="D43" s="11" t="s">
        <v>718</v>
      </c>
      <c r="E43" s="11">
        <v>1</v>
      </c>
    </row>
    <row r="44" spans="1:5" ht="24.75">
      <c r="A44" s="11" t="s">
        <v>237</v>
      </c>
      <c r="B44" s="11" t="s">
        <v>133</v>
      </c>
      <c r="C44" s="11" t="s">
        <v>183</v>
      </c>
      <c r="D44" s="11" t="s">
        <v>719</v>
      </c>
      <c r="E44" s="11">
        <v>1</v>
      </c>
    </row>
    <row r="45" spans="1:5" ht="24.75">
      <c r="A45" s="11" t="s">
        <v>237</v>
      </c>
      <c r="B45" s="11" t="s">
        <v>133</v>
      </c>
      <c r="C45" s="11" t="s">
        <v>183</v>
      </c>
      <c r="D45" s="11" t="s">
        <v>720</v>
      </c>
      <c r="E45" s="11">
        <v>1</v>
      </c>
    </row>
    <row r="46" spans="1:5" ht="24.75">
      <c r="A46" s="11" t="s">
        <v>237</v>
      </c>
      <c r="B46" s="11" t="s">
        <v>133</v>
      </c>
      <c r="C46" s="11" t="s">
        <v>183</v>
      </c>
      <c r="D46" s="11" t="s">
        <v>721</v>
      </c>
      <c r="E46" s="11">
        <v>1</v>
      </c>
    </row>
    <row r="47" spans="1:5" ht="24.75">
      <c r="A47" s="11" t="s">
        <v>237</v>
      </c>
      <c r="B47" s="11" t="s">
        <v>133</v>
      </c>
      <c r="C47" s="11" t="s">
        <v>183</v>
      </c>
      <c r="D47" s="11" t="s">
        <v>722</v>
      </c>
      <c r="E47" s="11">
        <v>1</v>
      </c>
    </row>
    <row r="48" spans="1:5" ht="24.75">
      <c r="A48" s="11" t="s">
        <v>237</v>
      </c>
      <c r="B48" s="11" t="s">
        <v>133</v>
      </c>
      <c r="C48" s="11" t="s">
        <v>183</v>
      </c>
      <c r="D48" s="11" t="s">
        <v>723</v>
      </c>
      <c r="E48" s="11">
        <v>1</v>
      </c>
    </row>
    <row r="49" spans="1:5" ht="24.75">
      <c r="A49" s="11" t="s">
        <v>237</v>
      </c>
      <c r="B49" s="11" t="s">
        <v>133</v>
      </c>
      <c r="C49" s="11" t="s">
        <v>183</v>
      </c>
      <c r="D49" s="11" t="s">
        <v>724</v>
      </c>
      <c r="E49" s="11">
        <v>1</v>
      </c>
    </row>
    <row r="50" spans="1:5" ht="24.75">
      <c r="A50" s="11" t="s">
        <v>237</v>
      </c>
      <c r="B50" s="11" t="s">
        <v>133</v>
      </c>
      <c r="C50" s="11" t="s">
        <v>183</v>
      </c>
      <c r="D50" s="11" t="s">
        <v>725</v>
      </c>
      <c r="E50" s="11">
        <v>1</v>
      </c>
    </row>
    <row r="51" spans="1:5" ht="24.75">
      <c r="A51" s="11" t="s">
        <v>237</v>
      </c>
      <c r="B51" s="11" t="s">
        <v>133</v>
      </c>
      <c r="C51" s="11" t="s">
        <v>183</v>
      </c>
      <c r="D51" s="11" t="s">
        <v>726</v>
      </c>
      <c r="E51" s="11">
        <v>1</v>
      </c>
    </row>
    <row r="52" spans="1:5" ht="24.75">
      <c r="A52" s="11" t="s">
        <v>237</v>
      </c>
      <c r="B52" s="11" t="s">
        <v>133</v>
      </c>
      <c r="C52" s="11" t="s">
        <v>183</v>
      </c>
      <c r="D52" s="11" t="s">
        <v>727</v>
      </c>
      <c r="E52" s="11">
        <v>1</v>
      </c>
    </row>
    <row r="53" spans="1:5" ht="24.75">
      <c r="A53" s="11" t="s">
        <v>237</v>
      </c>
      <c r="B53" s="11" t="s">
        <v>133</v>
      </c>
      <c r="C53" s="11" t="s">
        <v>183</v>
      </c>
      <c r="D53" s="11" t="s">
        <v>728</v>
      </c>
      <c r="E53" s="11">
        <v>1</v>
      </c>
    </row>
    <row r="54" spans="1:5" ht="24.75">
      <c r="A54" s="11" t="s">
        <v>237</v>
      </c>
      <c r="B54" s="11" t="s">
        <v>133</v>
      </c>
      <c r="C54" s="11" t="s">
        <v>183</v>
      </c>
      <c r="D54" s="11" t="s">
        <v>729</v>
      </c>
      <c r="E54" s="11">
        <v>1</v>
      </c>
    </row>
    <row r="55" spans="1:5" ht="24.75">
      <c r="A55" s="11" t="s">
        <v>237</v>
      </c>
      <c r="B55" s="11" t="s">
        <v>133</v>
      </c>
      <c r="C55" s="11" t="s">
        <v>183</v>
      </c>
      <c r="D55" s="11" t="s">
        <v>730</v>
      </c>
      <c r="E55" s="11">
        <v>1</v>
      </c>
    </row>
    <row r="56" spans="1:5" ht="24.75">
      <c r="A56" s="11" t="s">
        <v>237</v>
      </c>
      <c r="B56" s="11" t="s">
        <v>133</v>
      </c>
      <c r="C56" s="11" t="s">
        <v>183</v>
      </c>
      <c r="D56" s="11" t="s">
        <v>731</v>
      </c>
      <c r="E56" s="11">
        <v>1</v>
      </c>
    </row>
    <row r="57" spans="1:5" ht="24.75">
      <c r="A57" s="11" t="s">
        <v>237</v>
      </c>
      <c r="B57" s="11" t="s">
        <v>133</v>
      </c>
      <c r="C57" s="11" t="s">
        <v>183</v>
      </c>
      <c r="D57" s="11" t="s">
        <v>732</v>
      </c>
      <c r="E57" s="11">
        <v>1</v>
      </c>
    </row>
    <row r="58" spans="1:5" ht="24.75">
      <c r="A58" s="11" t="s">
        <v>237</v>
      </c>
      <c r="B58" s="11" t="s">
        <v>133</v>
      </c>
      <c r="C58" s="11" t="s">
        <v>183</v>
      </c>
      <c r="D58" s="11" t="s">
        <v>733</v>
      </c>
      <c r="E58" s="11">
        <v>1</v>
      </c>
    </row>
    <row r="59" spans="1:5" ht="24.75">
      <c r="A59" s="11" t="s">
        <v>237</v>
      </c>
      <c r="B59" s="11" t="s">
        <v>133</v>
      </c>
      <c r="C59" s="11" t="s">
        <v>183</v>
      </c>
      <c r="D59" s="11" t="s">
        <v>734</v>
      </c>
      <c r="E59" s="11">
        <v>1</v>
      </c>
    </row>
    <row r="60" spans="1:5" ht="24.75">
      <c r="A60" s="11" t="s">
        <v>237</v>
      </c>
      <c r="B60" s="11" t="s">
        <v>133</v>
      </c>
      <c r="C60" s="11" t="s">
        <v>183</v>
      </c>
      <c r="D60" s="11" t="s">
        <v>735</v>
      </c>
      <c r="E60" s="11">
        <v>1</v>
      </c>
    </row>
    <row r="61" spans="1:5" ht="24.75">
      <c r="A61" s="11" t="s">
        <v>237</v>
      </c>
      <c r="B61" s="11" t="s">
        <v>133</v>
      </c>
      <c r="C61" s="11" t="s">
        <v>183</v>
      </c>
      <c r="D61" s="11" t="s">
        <v>736</v>
      </c>
      <c r="E61" s="11">
        <v>1</v>
      </c>
    </row>
    <row r="62" spans="1:5" ht="24.75">
      <c r="A62" s="11" t="s">
        <v>237</v>
      </c>
      <c r="B62" s="11" t="s">
        <v>133</v>
      </c>
      <c r="C62" s="11" t="s">
        <v>183</v>
      </c>
      <c r="D62" s="11" t="s">
        <v>737</v>
      </c>
      <c r="E62" s="11">
        <v>1</v>
      </c>
    </row>
    <row r="63" spans="1:5" ht="24.75">
      <c r="A63" s="11" t="s">
        <v>237</v>
      </c>
      <c r="B63" s="11" t="s">
        <v>133</v>
      </c>
      <c r="C63" s="11" t="s">
        <v>183</v>
      </c>
      <c r="D63" s="11" t="s">
        <v>738</v>
      </c>
      <c r="E63" s="11">
        <v>1</v>
      </c>
    </row>
    <row r="64" spans="1:5" ht="24.75">
      <c r="A64" s="11" t="s">
        <v>237</v>
      </c>
      <c r="B64" s="11" t="s">
        <v>133</v>
      </c>
      <c r="C64" s="11" t="s">
        <v>183</v>
      </c>
      <c r="D64" s="11" t="s">
        <v>739</v>
      </c>
      <c r="E64" s="11">
        <v>1</v>
      </c>
    </row>
    <row r="65" spans="1:5" ht="24.75">
      <c r="A65" s="11" t="s">
        <v>237</v>
      </c>
      <c r="B65" s="11" t="s">
        <v>133</v>
      </c>
      <c r="C65" s="11" t="s">
        <v>183</v>
      </c>
      <c r="D65" s="11" t="s">
        <v>740</v>
      </c>
      <c r="E65" s="11">
        <v>1</v>
      </c>
    </row>
    <row r="66" spans="1:5" ht="24.75">
      <c r="A66" s="11" t="s">
        <v>237</v>
      </c>
      <c r="B66" s="11" t="s">
        <v>133</v>
      </c>
      <c r="C66" s="11" t="s">
        <v>183</v>
      </c>
      <c r="D66" s="11" t="s">
        <v>741</v>
      </c>
      <c r="E66" s="11">
        <v>1</v>
      </c>
    </row>
    <row r="67" spans="1:5" ht="24.75">
      <c r="A67" s="11" t="s">
        <v>237</v>
      </c>
      <c r="B67" s="11" t="s">
        <v>133</v>
      </c>
      <c r="C67" s="11" t="s">
        <v>183</v>
      </c>
      <c r="D67" s="11" t="s">
        <v>742</v>
      </c>
      <c r="E67" s="11">
        <v>1</v>
      </c>
    </row>
    <row r="68" spans="1:5" ht="24.75">
      <c r="A68" s="11" t="s">
        <v>237</v>
      </c>
      <c r="B68" s="11" t="s">
        <v>133</v>
      </c>
      <c r="C68" s="11" t="s">
        <v>183</v>
      </c>
      <c r="D68" s="11" t="s">
        <v>743</v>
      </c>
      <c r="E68" s="11">
        <v>1</v>
      </c>
    </row>
    <row r="69" spans="1:5" ht="24.75">
      <c r="A69" s="11" t="s">
        <v>237</v>
      </c>
      <c r="B69" s="11" t="s">
        <v>133</v>
      </c>
      <c r="C69" s="11" t="s">
        <v>183</v>
      </c>
      <c r="D69" s="11" t="s">
        <v>744</v>
      </c>
      <c r="E69" s="11">
        <v>1</v>
      </c>
    </row>
    <row r="70" spans="1:5" ht="24.75">
      <c r="A70" s="11" t="s">
        <v>237</v>
      </c>
      <c r="B70" s="11" t="s">
        <v>133</v>
      </c>
      <c r="C70" s="11" t="s">
        <v>183</v>
      </c>
      <c r="D70" s="11" t="s">
        <v>745</v>
      </c>
      <c r="E70" s="11">
        <v>1</v>
      </c>
    </row>
    <row r="71" spans="1:5" ht="24.75">
      <c r="A71" s="11" t="s">
        <v>237</v>
      </c>
      <c r="B71" s="11" t="s">
        <v>133</v>
      </c>
      <c r="C71" s="11" t="s">
        <v>183</v>
      </c>
      <c r="D71" s="11" t="s">
        <v>746</v>
      </c>
      <c r="E71" s="11">
        <v>1</v>
      </c>
    </row>
    <row r="72" spans="1:5" ht="24.75">
      <c r="A72" s="11" t="s">
        <v>237</v>
      </c>
      <c r="B72" s="11" t="s">
        <v>133</v>
      </c>
      <c r="C72" s="11" t="s">
        <v>183</v>
      </c>
      <c r="D72" s="11" t="s">
        <v>747</v>
      </c>
      <c r="E72" s="11">
        <v>1</v>
      </c>
    </row>
    <row r="73" spans="1:5" ht="24.75">
      <c r="A73" s="11" t="s">
        <v>237</v>
      </c>
      <c r="B73" s="11" t="s">
        <v>133</v>
      </c>
      <c r="C73" s="11" t="s">
        <v>183</v>
      </c>
      <c r="D73" s="11" t="s">
        <v>748</v>
      </c>
      <c r="E73" s="11">
        <v>1</v>
      </c>
    </row>
    <row r="74" spans="1:5" ht="24.75">
      <c r="A74" s="11" t="s">
        <v>237</v>
      </c>
      <c r="B74" s="11" t="s">
        <v>133</v>
      </c>
      <c r="C74" s="11" t="s">
        <v>183</v>
      </c>
      <c r="D74" s="11" t="s">
        <v>749</v>
      </c>
      <c r="E74" s="11">
        <v>1</v>
      </c>
    </row>
    <row r="75" spans="1:5" ht="24.75">
      <c r="A75" s="11" t="s">
        <v>237</v>
      </c>
      <c r="B75" s="11" t="s">
        <v>133</v>
      </c>
      <c r="C75" s="11" t="s">
        <v>183</v>
      </c>
      <c r="D75" s="11" t="s">
        <v>750</v>
      </c>
      <c r="E75" s="11">
        <v>1</v>
      </c>
    </row>
    <row r="76" spans="1:5" ht="24.75">
      <c r="A76" s="11" t="s">
        <v>237</v>
      </c>
      <c r="B76" s="11" t="s">
        <v>133</v>
      </c>
      <c r="C76" s="11" t="s">
        <v>183</v>
      </c>
      <c r="D76" s="11" t="s">
        <v>751</v>
      </c>
      <c r="E76" s="11">
        <v>1</v>
      </c>
    </row>
    <row r="77" spans="1:5" ht="24.75">
      <c r="A77" s="11" t="s">
        <v>237</v>
      </c>
      <c r="B77" s="11" t="s">
        <v>133</v>
      </c>
      <c r="C77" s="11" t="s">
        <v>183</v>
      </c>
      <c r="D77" s="11" t="s">
        <v>752</v>
      </c>
      <c r="E77" s="11">
        <v>1</v>
      </c>
    </row>
    <row r="78" spans="1:5" ht="24.75">
      <c r="A78" s="11" t="s">
        <v>237</v>
      </c>
      <c r="B78" s="11" t="s">
        <v>133</v>
      </c>
      <c r="C78" s="11" t="s">
        <v>183</v>
      </c>
      <c r="D78" s="11" t="s">
        <v>753</v>
      </c>
      <c r="E78" s="11">
        <v>1</v>
      </c>
    </row>
    <row r="79" spans="1:5" ht="24.75">
      <c r="A79" s="11" t="s">
        <v>237</v>
      </c>
      <c r="B79" s="11" t="s">
        <v>133</v>
      </c>
      <c r="C79" s="11" t="s">
        <v>183</v>
      </c>
      <c r="D79" s="11" t="s">
        <v>754</v>
      </c>
      <c r="E79" s="11">
        <v>1</v>
      </c>
    </row>
    <row r="80" spans="1:5" ht="24.75">
      <c r="A80" s="11" t="s">
        <v>237</v>
      </c>
      <c r="B80" s="11" t="s">
        <v>133</v>
      </c>
      <c r="C80" s="11" t="s">
        <v>183</v>
      </c>
      <c r="D80" s="11" t="s">
        <v>755</v>
      </c>
      <c r="E80" s="11">
        <v>1</v>
      </c>
    </row>
    <row r="81" spans="1:5" ht="24.75">
      <c r="A81" s="11" t="s">
        <v>237</v>
      </c>
      <c r="B81" s="11" t="s">
        <v>133</v>
      </c>
      <c r="C81" s="11" t="s">
        <v>183</v>
      </c>
      <c r="D81" s="11" t="s">
        <v>756</v>
      </c>
      <c r="E81" s="11">
        <v>1</v>
      </c>
    </row>
    <row r="82" spans="1:5" ht="24.75">
      <c r="A82" s="11" t="s">
        <v>237</v>
      </c>
      <c r="B82" s="11" t="s">
        <v>133</v>
      </c>
      <c r="C82" s="11" t="s">
        <v>183</v>
      </c>
      <c r="D82" s="11" t="s">
        <v>757</v>
      </c>
      <c r="E82" s="11">
        <v>1</v>
      </c>
    </row>
    <row r="83" spans="1:5" ht="24.75">
      <c r="A83" s="11" t="s">
        <v>237</v>
      </c>
      <c r="B83" s="11" t="s">
        <v>133</v>
      </c>
      <c r="C83" s="11" t="s">
        <v>183</v>
      </c>
      <c r="D83" s="11" t="s">
        <v>758</v>
      </c>
      <c r="E83" s="11">
        <v>1</v>
      </c>
    </row>
    <row r="84" spans="1:5" ht="24.75">
      <c r="A84" s="11" t="s">
        <v>237</v>
      </c>
      <c r="B84" s="11" t="s">
        <v>133</v>
      </c>
      <c r="C84" s="11" t="s">
        <v>183</v>
      </c>
      <c r="D84" s="11" t="s">
        <v>759</v>
      </c>
      <c r="E84" s="11">
        <v>1</v>
      </c>
    </row>
    <row r="85" spans="1:5" ht="24.75">
      <c r="A85" s="11" t="s">
        <v>237</v>
      </c>
      <c r="B85" s="11" t="s">
        <v>133</v>
      </c>
      <c r="C85" s="11" t="s">
        <v>183</v>
      </c>
      <c r="D85" s="11" t="s">
        <v>760</v>
      </c>
      <c r="E85" s="11">
        <v>1</v>
      </c>
    </row>
    <row r="86" spans="1:5" ht="24.75">
      <c r="A86" s="11" t="s">
        <v>237</v>
      </c>
      <c r="B86" s="11" t="s">
        <v>133</v>
      </c>
      <c r="C86" s="11" t="s">
        <v>183</v>
      </c>
      <c r="D86" s="11" t="s">
        <v>761</v>
      </c>
      <c r="E86" s="11">
        <v>1</v>
      </c>
    </row>
    <row r="87" spans="1:5" ht="24.75">
      <c r="A87" s="11" t="s">
        <v>237</v>
      </c>
      <c r="B87" s="11" t="s">
        <v>133</v>
      </c>
      <c r="C87" s="11" t="s">
        <v>183</v>
      </c>
      <c r="D87" s="11" t="s">
        <v>762</v>
      </c>
      <c r="E87" s="11">
        <v>1</v>
      </c>
    </row>
    <row r="88" spans="1:5" ht="24.75">
      <c r="A88" s="11" t="s">
        <v>237</v>
      </c>
      <c r="B88" s="11" t="s">
        <v>133</v>
      </c>
      <c r="C88" s="11" t="s">
        <v>183</v>
      </c>
      <c r="D88" s="11" t="s">
        <v>763</v>
      </c>
      <c r="E88" s="11">
        <v>1</v>
      </c>
    </row>
    <row r="89" spans="1:5" ht="24.75">
      <c r="A89" s="11" t="s">
        <v>237</v>
      </c>
      <c r="B89" s="11" t="s">
        <v>133</v>
      </c>
      <c r="C89" s="11" t="s">
        <v>183</v>
      </c>
      <c r="D89" s="11" t="s">
        <v>764</v>
      </c>
      <c r="E89" s="11">
        <v>1</v>
      </c>
    </row>
    <row r="90" spans="1:5" ht="24.75">
      <c r="A90" s="11" t="s">
        <v>237</v>
      </c>
      <c r="B90" s="11" t="s">
        <v>133</v>
      </c>
      <c r="C90" s="11" t="s">
        <v>183</v>
      </c>
      <c r="D90" s="11" t="s">
        <v>765</v>
      </c>
      <c r="E90" s="11">
        <v>1</v>
      </c>
    </row>
    <row r="91" spans="1:5" ht="24.75">
      <c r="A91" s="11" t="s">
        <v>237</v>
      </c>
      <c r="B91" s="11" t="s">
        <v>133</v>
      </c>
      <c r="C91" s="11" t="s">
        <v>183</v>
      </c>
      <c r="D91" s="11" t="s">
        <v>766</v>
      </c>
      <c r="E91" s="11">
        <v>1</v>
      </c>
    </row>
    <row r="92" spans="1:5" ht="24.75">
      <c r="A92" s="11" t="s">
        <v>237</v>
      </c>
      <c r="B92" s="11" t="s">
        <v>133</v>
      </c>
      <c r="C92" s="11" t="s">
        <v>183</v>
      </c>
      <c r="D92" s="11" t="s">
        <v>767</v>
      </c>
      <c r="E92" s="11">
        <v>1</v>
      </c>
    </row>
    <row r="93" spans="1:5" ht="24.75">
      <c r="A93" s="11" t="s">
        <v>237</v>
      </c>
      <c r="B93" s="11" t="s">
        <v>133</v>
      </c>
      <c r="C93" s="11" t="s">
        <v>183</v>
      </c>
      <c r="D93" s="11" t="s">
        <v>768</v>
      </c>
      <c r="E93" s="11">
        <v>1</v>
      </c>
    </row>
    <row r="94" spans="1:5" ht="24.75">
      <c r="A94" s="11" t="s">
        <v>237</v>
      </c>
      <c r="B94" s="11" t="s">
        <v>133</v>
      </c>
      <c r="C94" s="11" t="s">
        <v>183</v>
      </c>
      <c r="D94" s="11" t="s">
        <v>769</v>
      </c>
      <c r="E94" s="11">
        <v>1</v>
      </c>
    </row>
    <row r="95" spans="1:5" ht="24.75">
      <c r="A95" s="11" t="s">
        <v>237</v>
      </c>
      <c r="B95" s="11" t="s">
        <v>133</v>
      </c>
      <c r="C95" s="11" t="s">
        <v>183</v>
      </c>
      <c r="D95" s="11" t="s">
        <v>770</v>
      </c>
      <c r="E95" s="11">
        <v>1</v>
      </c>
    </row>
    <row r="96" spans="1:5" ht="24.75">
      <c r="A96" s="11" t="s">
        <v>237</v>
      </c>
      <c r="B96" s="11" t="s">
        <v>133</v>
      </c>
      <c r="C96" s="11" t="s">
        <v>183</v>
      </c>
      <c r="D96" s="11" t="s">
        <v>771</v>
      </c>
      <c r="E96" s="11">
        <v>1</v>
      </c>
    </row>
    <row r="97" spans="1:5" ht="24.75">
      <c r="A97" s="11" t="s">
        <v>237</v>
      </c>
      <c r="B97" s="11" t="s">
        <v>133</v>
      </c>
      <c r="C97" s="11" t="s">
        <v>183</v>
      </c>
      <c r="D97" s="11" t="s">
        <v>772</v>
      </c>
      <c r="E97" s="11">
        <v>1</v>
      </c>
    </row>
    <row r="98" spans="1:5" ht="24.75">
      <c r="A98" s="11" t="s">
        <v>237</v>
      </c>
      <c r="B98" s="11" t="s">
        <v>133</v>
      </c>
      <c r="C98" s="11" t="s">
        <v>183</v>
      </c>
      <c r="D98" s="11" t="s">
        <v>773</v>
      </c>
      <c r="E98" s="11">
        <v>1</v>
      </c>
    </row>
    <row r="99" spans="1:5" ht="24.75">
      <c r="A99" s="11" t="s">
        <v>237</v>
      </c>
      <c r="B99" s="11" t="s">
        <v>133</v>
      </c>
      <c r="C99" s="11" t="s">
        <v>183</v>
      </c>
      <c r="D99" s="11" t="s">
        <v>774</v>
      </c>
      <c r="E99" s="11">
        <v>1</v>
      </c>
    </row>
    <row r="100" spans="1:5" ht="24.75">
      <c r="A100" s="11" t="s">
        <v>237</v>
      </c>
      <c r="B100" s="11" t="s">
        <v>133</v>
      </c>
      <c r="C100" s="11" t="s">
        <v>183</v>
      </c>
      <c r="D100" s="11" t="s">
        <v>775</v>
      </c>
      <c r="E100" s="11">
        <v>1</v>
      </c>
    </row>
    <row r="101" spans="1:5" ht="24.75">
      <c r="A101" s="11" t="s">
        <v>237</v>
      </c>
      <c r="B101" s="11" t="s">
        <v>133</v>
      </c>
      <c r="C101" s="11" t="s">
        <v>183</v>
      </c>
      <c r="D101" s="11" t="s">
        <v>776</v>
      </c>
      <c r="E101" s="11">
        <v>1</v>
      </c>
    </row>
    <row r="102" spans="1:5" ht="24.75">
      <c r="A102" s="11" t="s">
        <v>237</v>
      </c>
      <c r="B102" s="11" t="s">
        <v>133</v>
      </c>
      <c r="C102" s="11" t="s">
        <v>183</v>
      </c>
      <c r="D102" s="11" t="s">
        <v>777</v>
      </c>
      <c r="E102" s="11">
        <v>1</v>
      </c>
    </row>
    <row r="103" spans="1:5" ht="24.75">
      <c r="A103" s="11" t="s">
        <v>237</v>
      </c>
      <c r="B103" s="11" t="s">
        <v>133</v>
      </c>
      <c r="C103" s="11" t="s">
        <v>183</v>
      </c>
      <c r="D103" s="11" t="s">
        <v>778</v>
      </c>
      <c r="E103" s="11">
        <v>1</v>
      </c>
    </row>
    <row r="104" spans="1:5" ht="24.75">
      <c r="A104" s="11" t="s">
        <v>237</v>
      </c>
      <c r="B104" s="11" t="s">
        <v>133</v>
      </c>
      <c r="C104" s="11" t="s">
        <v>183</v>
      </c>
      <c r="D104" s="11" t="s">
        <v>779</v>
      </c>
      <c r="E104" s="11">
        <v>1</v>
      </c>
    </row>
    <row r="105" spans="1:5" ht="24.75">
      <c r="A105" s="11" t="s">
        <v>237</v>
      </c>
      <c r="B105" s="11" t="s">
        <v>133</v>
      </c>
      <c r="C105" s="11" t="s">
        <v>183</v>
      </c>
      <c r="D105" s="11" t="s">
        <v>780</v>
      </c>
      <c r="E105" s="11">
        <v>1</v>
      </c>
    </row>
    <row r="106" spans="1:5" ht="24.75">
      <c r="A106" s="11" t="s">
        <v>237</v>
      </c>
      <c r="B106" s="11" t="s">
        <v>133</v>
      </c>
      <c r="C106" s="11" t="s">
        <v>183</v>
      </c>
      <c r="D106" s="11" t="s">
        <v>781</v>
      </c>
      <c r="E106" s="11">
        <v>1</v>
      </c>
    </row>
    <row r="107" spans="1:5" ht="24.75">
      <c r="A107" s="11" t="s">
        <v>237</v>
      </c>
      <c r="B107" s="11" t="s">
        <v>133</v>
      </c>
      <c r="C107" s="11" t="s">
        <v>183</v>
      </c>
      <c r="D107" s="11" t="s">
        <v>782</v>
      </c>
      <c r="E107" s="11">
        <v>1</v>
      </c>
    </row>
    <row r="108" spans="1:5" ht="24.75">
      <c r="A108" s="11" t="s">
        <v>237</v>
      </c>
      <c r="B108" s="11" t="s">
        <v>133</v>
      </c>
      <c r="C108" s="11" t="s">
        <v>183</v>
      </c>
      <c r="D108" s="11" t="s">
        <v>783</v>
      </c>
      <c r="E108" s="11">
        <v>1</v>
      </c>
    </row>
    <row r="109" spans="1:5" ht="24.75">
      <c r="A109" s="11" t="s">
        <v>237</v>
      </c>
      <c r="B109" s="11" t="s">
        <v>133</v>
      </c>
      <c r="C109" s="11" t="s">
        <v>183</v>
      </c>
      <c r="D109" s="11" t="s">
        <v>784</v>
      </c>
      <c r="E109" s="11">
        <v>1</v>
      </c>
    </row>
    <row r="110" spans="1:5" ht="24.75">
      <c r="A110" s="11" t="s">
        <v>237</v>
      </c>
      <c r="B110" s="11" t="s">
        <v>133</v>
      </c>
      <c r="C110" s="11" t="s">
        <v>183</v>
      </c>
      <c r="D110" s="11" t="s">
        <v>785</v>
      </c>
      <c r="E110" s="11">
        <v>1</v>
      </c>
    </row>
    <row r="111" spans="1:5" ht="24.75">
      <c r="A111" s="11" t="s">
        <v>237</v>
      </c>
      <c r="B111" s="11" t="s">
        <v>133</v>
      </c>
      <c r="C111" s="11" t="s">
        <v>183</v>
      </c>
      <c r="D111" s="11" t="s">
        <v>786</v>
      </c>
      <c r="E111" s="11">
        <v>1</v>
      </c>
    </row>
    <row r="112" spans="1:5" ht="24.75">
      <c r="A112" s="11" t="s">
        <v>237</v>
      </c>
      <c r="B112" s="11" t="s">
        <v>133</v>
      </c>
      <c r="C112" s="11" t="s">
        <v>183</v>
      </c>
      <c r="D112" s="11" t="s">
        <v>787</v>
      </c>
      <c r="E112" s="11">
        <v>1</v>
      </c>
    </row>
    <row r="113" spans="1:5" ht="24.75">
      <c r="A113" s="11" t="s">
        <v>237</v>
      </c>
      <c r="B113" s="11" t="s">
        <v>133</v>
      </c>
      <c r="C113" s="11" t="s">
        <v>183</v>
      </c>
      <c r="D113" s="11" t="s">
        <v>788</v>
      </c>
      <c r="E113" s="11">
        <v>1</v>
      </c>
    </row>
    <row r="114" spans="1:5" ht="24.75">
      <c r="A114" s="11" t="s">
        <v>237</v>
      </c>
      <c r="B114" s="11" t="s">
        <v>133</v>
      </c>
      <c r="C114" s="11" t="s">
        <v>183</v>
      </c>
      <c r="D114" s="11" t="s">
        <v>789</v>
      </c>
      <c r="E114" s="11">
        <v>1</v>
      </c>
    </row>
    <row r="115" spans="1:5" ht="24.75">
      <c r="A115" s="11" t="s">
        <v>237</v>
      </c>
      <c r="B115" s="11" t="s">
        <v>133</v>
      </c>
      <c r="C115" s="11" t="s">
        <v>183</v>
      </c>
      <c r="D115" s="11" t="s">
        <v>790</v>
      </c>
      <c r="E115" s="11">
        <v>1</v>
      </c>
    </row>
    <row r="116" spans="1:5" ht="24.75">
      <c r="A116" s="11" t="s">
        <v>237</v>
      </c>
      <c r="B116" s="11" t="s">
        <v>133</v>
      </c>
      <c r="C116" s="11" t="s">
        <v>183</v>
      </c>
      <c r="D116" s="11" t="s">
        <v>791</v>
      </c>
      <c r="E116" s="11">
        <v>1</v>
      </c>
    </row>
    <row r="117" spans="1:5" ht="24.75">
      <c r="A117" s="11" t="s">
        <v>237</v>
      </c>
      <c r="B117" s="11" t="s">
        <v>133</v>
      </c>
      <c r="C117" s="11" t="s">
        <v>183</v>
      </c>
      <c r="D117" s="11" t="s">
        <v>792</v>
      </c>
      <c r="E117" s="11">
        <v>1</v>
      </c>
    </row>
    <row r="118" spans="1:5" ht="24.75">
      <c r="A118" s="11" t="s">
        <v>237</v>
      </c>
      <c r="B118" s="11" t="s">
        <v>133</v>
      </c>
      <c r="C118" s="11" t="s">
        <v>183</v>
      </c>
      <c r="D118" s="11" t="s">
        <v>793</v>
      </c>
      <c r="E118" s="11">
        <v>1</v>
      </c>
    </row>
    <row r="119" spans="1:5" ht="24.75">
      <c r="A119" s="11" t="s">
        <v>237</v>
      </c>
      <c r="B119" s="11" t="s">
        <v>133</v>
      </c>
      <c r="C119" s="11" t="s">
        <v>183</v>
      </c>
      <c r="D119" s="11" t="s">
        <v>794</v>
      </c>
      <c r="E119" s="11">
        <v>1</v>
      </c>
    </row>
    <row r="120" spans="1:5" ht="24.75">
      <c r="A120" s="11" t="s">
        <v>237</v>
      </c>
      <c r="B120" s="11" t="s">
        <v>133</v>
      </c>
      <c r="C120" s="11" t="s">
        <v>183</v>
      </c>
      <c r="D120" s="11" t="s">
        <v>795</v>
      </c>
      <c r="E120" s="11">
        <v>1</v>
      </c>
    </row>
    <row r="121" spans="1:5" ht="24.75">
      <c r="A121" s="11" t="s">
        <v>237</v>
      </c>
      <c r="B121" s="11" t="s">
        <v>133</v>
      </c>
      <c r="C121" s="11" t="s">
        <v>183</v>
      </c>
      <c r="D121" s="11" t="s">
        <v>796</v>
      </c>
      <c r="E121" s="11">
        <v>1</v>
      </c>
    </row>
    <row r="122" spans="1:5" ht="24.75">
      <c r="A122" s="11" t="s">
        <v>237</v>
      </c>
      <c r="B122" s="11" t="s">
        <v>133</v>
      </c>
      <c r="C122" s="11" t="s">
        <v>183</v>
      </c>
      <c r="D122" s="11" t="s">
        <v>797</v>
      </c>
      <c r="E122" s="11">
        <v>1</v>
      </c>
    </row>
    <row r="123" spans="1:5" ht="24.75">
      <c r="A123" s="11" t="s">
        <v>237</v>
      </c>
      <c r="B123" s="11" t="s">
        <v>133</v>
      </c>
      <c r="C123" s="11" t="s">
        <v>183</v>
      </c>
      <c r="D123" s="11" t="s">
        <v>798</v>
      </c>
      <c r="E123" s="11">
        <v>1</v>
      </c>
    </row>
    <row r="124" spans="1:5" ht="24.75">
      <c r="A124" s="11" t="s">
        <v>237</v>
      </c>
      <c r="B124" s="11" t="s">
        <v>133</v>
      </c>
      <c r="C124" s="11" t="s">
        <v>183</v>
      </c>
      <c r="D124" s="11" t="s">
        <v>799</v>
      </c>
      <c r="E124" s="11">
        <v>1</v>
      </c>
    </row>
    <row r="125" spans="1:5">
      <c r="A125" s="1" t="s">
        <v>126</v>
      </c>
      <c r="B125" s="1" t="s">
        <v>126</v>
      </c>
      <c r="C125" s="1">
        <f>SUBTOTAL(103,Elements138111[Elemento])</f>
        <v>118</v>
      </c>
      <c r="D125" s="1" t="s">
        <v>126</v>
      </c>
      <c r="E125" s="1">
        <f>SUBTOTAL(109,Elements138111[Totais:])</f>
        <v>118</v>
      </c>
    </row>
  </sheetData>
  <mergeCells count="3">
    <mergeCell ref="A1:E2"/>
    <mergeCell ref="A4:E4"/>
    <mergeCell ref="A5:E5"/>
  </mergeCells>
  <hyperlinks>
    <hyperlink ref="A1" location="'13.8.11'!A1" display="PATCH CORD (CABO DE REDE), CATEGORIA 6 (CAT 6) UTP, 23 AWG, 4 PARES, EXTENSAO DE 1,50 M" xr:uid="{00000000-0004-0000-2700-000000000000}"/>
    <hyperlink ref="B1" location="'13.8.11'!A1" display="PATCH CORD (CABO DE REDE), CATEGORIA 6 (CAT 6) UTP, 23 AWG, 4 PARES, EXTENSAO DE 1,50 M" xr:uid="{00000000-0004-0000-2700-000001000000}"/>
    <hyperlink ref="C1" location="'13.8.11'!A1" display="PATCH CORD (CABO DE REDE), CATEGORIA 6 (CAT 6) UTP, 23 AWG, 4 PARES, EXTENSAO DE 1,50 M" xr:uid="{00000000-0004-0000-2700-000002000000}"/>
    <hyperlink ref="D1" location="'13.8.11'!A1" display="PATCH CORD (CABO DE REDE), CATEGORIA 6 (CAT 6) UTP, 23 AWG, 4 PARES, EXTENSAO DE 1,50 M" xr:uid="{00000000-0004-0000-2700-000003000000}"/>
    <hyperlink ref="E1" location="'13.8.11'!A1" display="PATCH CORD (CABO DE REDE), CATEGORIA 6 (CAT 6) UTP, 23 AWG, 4 PARES, EXTENSAO DE 1,50 M" xr:uid="{00000000-0004-0000-2700-000004000000}"/>
    <hyperlink ref="A2" location="'13.8.11'!A1" display="PATCH CORD (CABO DE REDE), CATEGORIA 6 (CAT 6) UTP, 23 AWG, 4 PARES, EXTENSAO DE 1,50 M" xr:uid="{00000000-0004-0000-2700-000005000000}"/>
    <hyperlink ref="B2" location="'13.8.11'!A1" display="PATCH CORD (CABO DE REDE), CATEGORIA 6 (CAT 6) UTP, 23 AWG, 4 PARES, EXTENSAO DE 1,50 M" xr:uid="{00000000-0004-0000-2700-000006000000}"/>
    <hyperlink ref="C2" location="'13.8.11'!A1" display="PATCH CORD (CABO DE REDE), CATEGORIA 6 (CAT 6) UTP, 23 AWG, 4 PARES, EXTENSAO DE 1,50 M" xr:uid="{00000000-0004-0000-2700-000007000000}"/>
    <hyperlink ref="D2" location="'13.8.11'!A1" display="PATCH CORD (CABO DE REDE), CATEGORIA 6 (CAT 6) UTP, 23 AWG, 4 PARES, EXTENSAO DE 1,50 M" xr:uid="{00000000-0004-0000-2700-000008000000}"/>
    <hyperlink ref="E2" location="'13.8.11'!A1" display="PATCH CORD (CABO DE REDE), CATEGORIA 6 (CAT 6) UTP, 23 AWG, 4 PARES, EXTENSAO DE 1,50 M" xr:uid="{00000000-0004-0000-2700-000009000000}"/>
    <hyperlink ref="A4" location="'13.8.11'!A1" display="Equipamento elétrico (A)" xr:uid="{00000000-0004-0000-2700-00000A000000}"/>
    <hyperlink ref="B4" location="'13.8.11'!A1" display="Equipamento elétrico (A)" xr:uid="{00000000-0004-0000-2700-00000B000000}"/>
    <hyperlink ref="C4" location="'13.8.11'!A1" display="Equipamento elétrico (A)" xr:uid="{00000000-0004-0000-2700-00000C000000}"/>
    <hyperlink ref="D4" location="'13.8.11'!A1" display="Equipamento elétrico (A)" xr:uid="{00000000-0004-0000-2700-00000D000000}"/>
    <hyperlink ref="E4" location="'13.8.11'!A1" display="Equipamento elétrico (A)" xr:uid="{00000000-0004-0000-27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dimension ref="A1:E13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62</v>
      </c>
      <c r="B1" s="23" t="s">
        <v>62</v>
      </c>
      <c r="C1" s="23" t="s">
        <v>62</v>
      </c>
      <c r="D1" s="23" t="s">
        <v>62</v>
      </c>
      <c r="E1" s="23" t="s">
        <v>62</v>
      </c>
    </row>
    <row r="2" spans="1:5">
      <c r="A2" s="23" t="s">
        <v>62</v>
      </c>
      <c r="B2" s="23" t="s">
        <v>62</v>
      </c>
      <c r="C2" s="23" t="s">
        <v>62</v>
      </c>
      <c r="D2" s="23" t="s">
        <v>62</v>
      </c>
      <c r="E2" s="23" t="s">
        <v>62</v>
      </c>
    </row>
    <row r="4" spans="1:5">
      <c r="A4" s="18" t="s">
        <v>152</v>
      </c>
      <c r="B4" s="18" t="s">
        <v>152</v>
      </c>
      <c r="C4" s="18" t="s">
        <v>152</v>
      </c>
      <c r="D4" s="18" t="s">
        <v>152</v>
      </c>
      <c r="E4" s="18" t="s">
        <v>152</v>
      </c>
    </row>
    <row r="5" spans="1:5">
      <c r="A5" s="24" t="s">
        <v>184</v>
      </c>
      <c r="B5" s="24" t="s">
        <v>184</v>
      </c>
      <c r="C5" s="24" t="s">
        <v>184</v>
      </c>
      <c r="D5" s="24" t="s">
        <v>184</v>
      </c>
      <c r="E5" s="24" t="s">
        <v>184</v>
      </c>
    </row>
    <row r="6" spans="1:5">
      <c r="A6" s="10" t="s">
        <v>232</v>
      </c>
      <c r="B6" s="10" t="s">
        <v>233</v>
      </c>
      <c r="C6" s="10" t="s">
        <v>234</v>
      </c>
      <c r="D6" s="10" t="s">
        <v>235</v>
      </c>
      <c r="E6" s="10" t="s">
        <v>236</v>
      </c>
    </row>
    <row r="7" spans="1:5" ht="24.75">
      <c r="A7" s="11" t="s">
        <v>237</v>
      </c>
      <c r="B7" s="11" t="s">
        <v>133</v>
      </c>
      <c r="C7" s="11" t="s">
        <v>185</v>
      </c>
      <c r="D7" s="11" t="s">
        <v>800</v>
      </c>
      <c r="E7" s="11">
        <v>4.7128323592306156</v>
      </c>
    </row>
    <row r="8" spans="1:5" ht="24.75">
      <c r="A8" s="11" t="s">
        <v>237</v>
      </c>
      <c r="B8" s="11" t="s">
        <v>133</v>
      </c>
      <c r="C8" s="11" t="s">
        <v>185</v>
      </c>
      <c r="D8" s="11" t="s">
        <v>801</v>
      </c>
      <c r="E8" s="11">
        <v>2.9900000045475404E-2</v>
      </c>
    </row>
    <row r="9" spans="1:5" ht="24.75">
      <c r="A9" s="11" t="s">
        <v>237</v>
      </c>
      <c r="B9" s="11" t="s">
        <v>133</v>
      </c>
      <c r="C9" s="11" t="s">
        <v>185</v>
      </c>
      <c r="D9" s="11" t="s">
        <v>802</v>
      </c>
      <c r="E9" s="11">
        <v>3.1954000048570181</v>
      </c>
    </row>
    <row r="10" spans="1:5" ht="24.75">
      <c r="A10" s="11" t="s">
        <v>237</v>
      </c>
      <c r="B10" s="11" t="s">
        <v>133</v>
      </c>
      <c r="C10" s="11" t="s">
        <v>185</v>
      </c>
      <c r="D10" s="11" t="s">
        <v>803</v>
      </c>
      <c r="E10" s="11">
        <v>0.16770000025489401</v>
      </c>
    </row>
    <row r="11" spans="1:5" ht="24.75">
      <c r="A11" s="11" t="s">
        <v>237</v>
      </c>
      <c r="B11" s="11" t="s">
        <v>133</v>
      </c>
      <c r="C11" s="11" t="s">
        <v>185</v>
      </c>
      <c r="D11" s="11" t="s">
        <v>804</v>
      </c>
      <c r="E11" s="11">
        <v>1.1076000016835521</v>
      </c>
    </row>
    <row r="12" spans="1:5" ht="24.75">
      <c r="A12" s="11" t="s">
        <v>237</v>
      </c>
      <c r="B12" s="11" t="s">
        <v>133</v>
      </c>
      <c r="C12" s="11" t="s">
        <v>185</v>
      </c>
      <c r="D12" s="11" t="s">
        <v>805</v>
      </c>
      <c r="E12" s="11">
        <v>8.3268323647234066</v>
      </c>
    </row>
    <row r="13" spans="1:5">
      <c r="A13" s="1" t="s">
        <v>126</v>
      </c>
      <c r="B13" s="1" t="s">
        <v>126</v>
      </c>
      <c r="C13" s="1">
        <f>SUBTOTAL(103,Elements138121[Elemento])</f>
        <v>6</v>
      </c>
      <c r="D13" s="1" t="s">
        <v>126</v>
      </c>
      <c r="E13" s="1">
        <f>SUBTOTAL(109,Elements138121[Totais:])</f>
        <v>17.540264730794963</v>
      </c>
    </row>
  </sheetData>
  <mergeCells count="3">
    <mergeCell ref="A1:E2"/>
    <mergeCell ref="A4:E4"/>
    <mergeCell ref="A5:E5"/>
  </mergeCells>
  <hyperlinks>
    <hyperlink ref="A1" location="'13.8.12'!A1" display="DUTO CORRUGADO HELICOIDAL,NA COR PRETA,LINHA DUPLA,DE POLIET ILENO DE ALTA DENSIDADE(PEAD),P/PROTECAO DE CONDUTORES ELETR .EM INSTAL.SUBTERRANEAS,DIAM.NOMINAL 1 1/4”,SENDO DIAM.INT. 31,5MM,FORNECIDO C/2 TAMPOES NAS EXTREMIDADES,FITA DE AVISO ”PERIGO”C/FIO" xr:uid="{00000000-0004-0000-2800-000000000000}"/>
    <hyperlink ref="B1" location="'13.8.12'!A1" display="DUTO CORRUGADO HELICOIDAL,NA COR PRETA,LINHA DUPLA,DE POLIET ILENO DE ALTA DENSIDADE(PEAD),P/PROTECAO DE CONDUTORES ELETR .EM INSTAL.SUBTERRANEAS,DIAM.NOMINAL 1 1/4”,SENDO DIAM.INT. 31,5MM,FORNECIDO C/2 TAMPOES NAS EXTREMIDADES,FITA DE AVISO ”PERIGO”C/FIO" xr:uid="{00000000-0004-0000-2800-000001000000}"/>
    <hyperlink ref="C1" location="'13.8.12'!A1" display="DUTO CORRUGADO HELICOIDAL,NA COR PRETA,LINHA DUPLA,DE POLIET ILENO DE ALTA DENSIDADE(PEAD),P/PROTECAO DE CONDUTORES ELETR .EM INSTAL.SUBTERRANEAS,DIAM.NOMINAL 1 1/4”,SENDO DIAM.INT. 31,5MM,FORNECIDO C/2 TAMPOES NAS EXTREMIDADES,FITA DE AVISO ”PERIGO”C/FIO" xr:uid="{00000000-0004-0000-2800-000002000000}"/>
    <hyperlink ref="D1" location="'13.8.12'!A1" display="DUTO CORRUGADO HELICOIDAL,NA COR PRETA,LINHA DUPLA,DE POLIET ILENO DE ALTA DENSIDADE(PEAD),P/PROTECAO DE CONDUTORES ELETR .EM INSTAL.SUBTERRANEAS,DIAM.NOMINAL 1 1/4”,SENDO DIAM.INT. 31,5MM,FORNECIDO C/2 TAMPOES NAS EXTREMIDADES,FITA DE AVISO ”PERIGO”C/FIO" xr:uid="{00000000-0004-0000-2800-000003000000}"/>
    <hyperlink ref="E1" location="'13.8.12'!A1" display="DUTO CORRUGADO HELICOIDAL,NA COR PRETA,LINHA DUPLA,DE POLIET ILENO DE ALTA DENSIDADE(PEAD),P/PROTECAO DE CONDUTORES ELETR .EM INSTAL.SUBTERRANEAS,DIAM.NOMINAL 1 1/4”,SENDO DIAM.INT. 31,5MM,FORNECIDO C/2 TAMPOES NAS EXTREMIDADES,FITA DE AVISO ”PERIGO”C/FIO" xr:uid="{00000000-0004-0000-2800-000004000000}"/>
    <hyperlink ref="A2" location="'13.8.12'!A1" display="DUTO CORRUGADO HELICOIDAL,NA COR PRETA,LINHA DUPLA,DE POLIET ILENO DE ALTA DENSIDADE(PEAD),P/PROTECAO DE CONDUTORES ELETR .EM INSTAL.SUBTERRANEAS,DIAM.NOMINAL 1 1/4”,SENDO DIAM.INT. 31,5MM,FORNECIDO C/2 TAMPOES NAS EXTREMIDADES,FITA DE AVISO ”PERIGO”C/FIO" xr:uid="{00000000-0004-0000-2800-000005000000}"/>
    <hyperlink ref="B2" location="'13.8.12'!A1" display="DUTO CORRUGADO HELICOIDAL,NA COR PRETA,LINHA DUPLA,DE POLIET ILENO DE ALTA DENSIDADE(PEAD),P/PROTECAO DE CONDUTORES ELETR .EM INSTAL.SUBTERRANEAS,DIAM.NOMINAL 1 1/4”,SENDO DIAM.INT. 31,5MM,FORNECIDO C/2 TAMPOES NAS EXTREMIDADES,FITA DE AVISO ”PERIGO”C/FIO" xr:uid="{00000000-0004-0000-2800-000006000000}"/>
    <hyperlink ref="C2" location="'13.8.12'!A1" display="DUTO CORRUGADO HELICOIDAL,NA COR PRETA,LINHA DUPLA,DE POLIET ILENO DE ALTA DENSIDADE(PEAD),P/PROTECAO DE CONDUTORES ELETR .EM INSTAL.SUBTERRANEAS,DIAM.NOMINAL 1 1/4”,SENDO DIAM.INT. 31,5MM,FORNECIDO C/2 TAMPOES NAS EXTREMIDADES,FITA DE AVISO ”PERIGO”C/FIO" xr:uid="{00000000-0004-0000-2800-000007000000}"/>
    <hyperlink ref="D2" location="'13.8.12'!A1" display="DUTO CORRUGADO HELICOIDAL,NA COR PRETA,LINHA DUPLA,DE POLIET ILENO DE ALTA DENSIDADE(PEAD),P/PROTECAO DE CONDUTORES ELETR .EM INSTAL.SUBTERRANEAS,DIAM.NOMINAL 1 1/4”,SENDO DIAM.INT. 31,5MM,FORNECIDO C/2 TAMPOES NAS EXTREMIDADES,FITA DE AVISO ”PERIGO”C/FIO" xr:uid="{00000000-0004-0000-2800-000008000000}"/>
    <hyperlink ref="E2" location="'13.8.12'!A1" display="DUTO CORRUGADO HELICOIDAL,NA COR PRETA,LINHA DUPLA,DE POLIET ILENO DE ALTA DENSIDADE(PEAD),P/PROTECAO DE CONDUTORES ELETR .EM INSTAL.SUBTERRANEAS,DIAM.NOMINAL 1 1/4”,SENDO DIAM.INT. 31,5MM,FORNECIDO C/2 TAMPOES NAS EXTREMIDADES,FITA DE AVISO ”PERIGO”C/FIO" xr:uid="{00000000-0004-0000-2800-000009000000}"/>
    <hyperlink ref="A4" location="'13.8.12'!A1" display="Conduites" xr:uid="{00000000-0004-0000-2800-00000A000000}"/>
    <hyperlink ref="B4" location="'13.8.12'!A1" display="Conduites" xr:uid="{00000000-0004-0000-2800-00000B000000}"/>
    <hyperlink ref="C4" location="'13.8.12'!A1" display="Conduites" xr:uid="{00000000-0004-0000-2800-00000C000000}"/>
    <hyperlink ref="D4" location="'13.8.12'!A1" display="Conduites" xr:uid="{00000000-0004-0000-2800-00000D000000}"/>
    <hyperlink ref="E4" location="'13.8.12'!A1" display="Conduites" xr:uid="{00000000-0004-0000-28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dimension ref="A1:E156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66</v>
      </c>
      <c r="B1" s="23" t="s">
        <v>66</v>
      </c>
      <c r="C1" s="23" t="s">
        <v>66</v>
      </c>
      <c r="D1" s="23" t="s">
        <v>66</v>
      </c>
      <c r="E1" s="23" t="s">
        <v>66</v>
      </c>
    </row>
    <row r="2" spans="1:5">
      <c r="A2" s="23" t="s">
        <v>66</v>
      </c>
      <c r="B2" s="23" t="s">
        <v>66</v>
      </c>
      <c r="C2" s="23" t="s">
        <v>66</v>
      </c>
      <c r="D2" s="23" t="s">
        <v>66</v>
      </c>
      <c r="E2" s="23" t="s">
        <v>66</v>
      </c>
    </row>
    <row r="4" spans="1:5">
      <c r="A4" s="18" t="s">
        <v>187</v>
      </c>
      <c r="B4" s="18" t="s">
        <v>187</v>
      </c>
      <c r="C4" s="18" t="s">
        <v>187</v>
      </c>
      <c r="D4" s="18" t="s">
        <v>187</v>
      </c>
      <c r="E4" s="18" t="s">
        <v>187</v>
      </c>
    </row>
    <row r="5" spans="1:5">
      <c r="A5" s="24" t="s">
        <v>126</v>
      </c>
      <c r="B5" s="24" t="s">
        <v>126</v>
      </c>
      <c r="C5" s="24" t="s">
        <v>126</v>
      </c>
      <c r="D5" s="24" t="s">
        <v>126</v>
      </c>
      <c r="E5" s="24" t="s">
        <v>126</v>
      </c>
    </row>
    <row r="6" spans="1:5">
      <c r="A6" s="10" t="s">
        <v>232</v>
      </c>
      <c r="B6" s="10" t="s">
        <v>233</v>
      </c>
      <c r="C6" s="10" t="s">
        <v>234</v>
      </c>
      <c r="D6" s="10" t="s">
        <v>235</v>
      </c>
      <c r="E6" s="10" t="s">
        <v>236</v>
      </c>
    </row>
    <row r="7" spans="1:5" ht="24.75">
      <c r="A7" s="11" t="s">
        <v>237</v>
      </c>
      <c r="B7" s="11" t="s">
        <v>133</v>
      </c>
      <c r="C7" s="11" t="s">
        <v>189</v>
      </c>
      <c r="D7" s="11" t="s">
        <v>806</v>
      </c>
      <c r="E7" s="11">
        <v>1</v>
      </c>
    </row>
    <row r="8" spans="1:5" ht="24.75">
      <c r="A8" s="11" t="s">
        <v>237</v>
      </c>
      <c r="B8" s="11" t="s">
        <v>133</v>
      </c>
      <c r="C8" s="11" t="s">
        <v>189</v>
      </c>
      <c r="D8" s="11" t="s">
        <v>807</v>
      </c>
      <c r="E8" s="11">
        <v>1</v>
      </c>
    </row>
    <row r="9" spans="1:5" ht="24.75">
      <c r="A9" s="11" t="s">
        <v>237</v>
      </c>
      <c r="B9" s="11" t="s">
        <v>133</v>
      </c>
      <c r="C9" s="11" t="s">
        <v>189</v>
      </c>
      <c r="D9" s="11" t="s">
        <v>808</v>
      </c>
      <c r="E9" s="11">
        <v>1</v>
      </c>
    </row>
    <row r="10" spans="1:5" ht="24.75">
      <c r="A10" s="11" t="s">
        <v>237</v>
      </c>
      <c r="B10" s="11" t="s">
        <v>133</v>
      </c>
      <c r="C10" s="11" t="s">
        <v>189</v>
      </c>
      <c r="D10" s="11" t="s">
        <v>809</v>
      </c>
      <c r="E10" s="11">
        <v>1</v>
      </c>
    </row>
    <row r="11" spans="1:5" ht="24.75">
      <c r="A11" s="11" t="s">
        <v>237</v>
      </c>
      <c r="B11" s="11" t="s">
        <v>133</v>
      </c>
      <c r="C11" s="11" t="s">
        <v>189</v>
      </c>
      <c r="D11" s="11" t="s">
        <v>810</v>
      </c>
      <c r="E11" s="11">
        <v>1</v>
      </c>
    </row>
    <row r="12" spans="1:5" ht="24.75">
      <c r="A12" s="11" t="s">
        <v>237</v>
      </c>
      <c r="B12" s="11" t="s">
        <v>133</v>
      </c>
      <c r="C12" s="11" t="s">
        <v>189</v>
      </c>
      <c r="D12" s="11" t="s">
        <v>811</v>
      </c>
      <c r="E12" s="11">
        <v>1</v>
      </c>
    </row>
    <row r="13" spans="1:5" ht="24.75">
      <c r="A13" s="11" t="s">
        <v>237</v>
      </c>
      <c r="B13" s="11" t="s">
        <v>133</v>
      </c>
      <c r="C13" s="11" t="s">
        <v>189</v>
      </c>
      <c r="D13" s="11" t="s">
        <v>812</v>
      </c>
      <c r="E13" s="11">
        <v>1</v>
      </c>
    </row>
    <row r="14" spans="1:5" ht="24.75">
      <c r="A14" s="11" t="s">
        <v>237</v>
      </c>
      <c r="B14" s="11" t="s">
        <v>133</v>
      </c>
      <c r="C14" s="11" t="s">
        <v>189</v>
      </c>
      <c r="D14" s="11" t="s">
        <v>813</v>
      </c>
      <c r="E14" s="11">
        <v>1</v>
      </c>
    </row>
    <row r="15" spans="1:5" ht="24.75">
      <c r="A15" s="11" t="s">
        <v>237</v>
      </c>
      <c r="B15" s="11" t="s">
        <v>133</v>
      </c>
      <c r="C15" s="11" t="s">
        <v>189</v>
      </c>
      <c r="D15" s="11" t="s">
        <v>814</v>
      </c>
      <c r="E15" s="11">
        <v>1</v>
      </c>
    </row>
    <row r="16" spans="1:5" ht="24.75">
      <c r="A16" s="11" t="s">
        <v>237</v>
      </c>
      <c r="B16" s="11" t="s">
        <v>133</v>
      </c>
      <c r="C16" s="11" t="s">
        <v>189</v>
      </c>
      <c r="D16" s="11" t="s">
        <v>815</v>
      </c>
      <c r="E16" s="11">
        <v>1</v>
      </c>
    </row>
    <row r="17" spans="1:5" ht="24.75">
      <c r="A17" s="11" t="s">
        <v>237</v>
      </c>
      <c r="B17" s="11" t="s">
        <v>133</v>
      </c>
      <c r="C17" s="11" t="s">
        <v>189</v>
      </c>
      <c r="D17" s="11" t="s">
        <v>816</v>
      </c>
      <c r="E17" s="11">
        <v>1</v>
      </c>
    </row>
    <row r="18" spans="1:5" ht="24.75">
      <c r="A18" s="11" t="s">
        <v>237</v>
      </c>
      <c r="B18" s="11" t="s">
        <v>133</v>
      </c>
      <c r="C18" s="11" t="s">
        <v>189</v>
      </c>
      <c r="D18" s="11" t="s">
        <v>817</v>
      </c>
      <c r="E18" s="11">
        <v>1</v>
      </c>
    </row>
    <row r="19" spans="1:5" ht="24.75">
      <c r="A19" s="11" t="s">
        <v>237</v>
      </c>
      <c r="B19" s="11" t="s">
        <v>133</v>
      </c>
      <c r="C19" s="11" t="s">
        <v>189</v>
      </c>
      <c r="D19" s="11" t="s">
        <v>818</v>
      </c>
      <c r="E19" s="11">
        <v>1</v>
      </c>
    </row>
    <row r="20" spans="1:5">
      <c r="A20" s="1" t="s">
        <v>126</v>
      </c>
      <c r="B20" s="1" t="s">
        <v>126</v>
      </c>
      <c r="C20" s="1">
        <f>SUBTOTAL(103,Elements138131[Elemento])</f>
        <v>13</v>
      </c>
      <c r="D20" s="1" t="s">
        <v>126</v>
      </c>
      <c r="E20" s="1">
        <f>SUBTOTAL(109,Elements138131[Totais:])</f>
        <v>13</v>
      </c>
    </row>
    <row r="23" spans="1:5">
      <c r="A23" s="23" t="s">
        <v>66</v>
      </c>
      <c r="B23" s="23" t="s">
        <v>66</v>
      </c>
      <c r="C23" s="23" t="s">
        <v>66</v>
      </c>
      <c r="D23" s="23" t="s">
        <v>66</v>
      </c>
      <c r="E23" s="23" t="s">
        <v>66</v>
      </c>
    </row>
    <row r="24" spans="1:5">
      <c r="A24" s="23" t="s">
        <v>66</v>
      </c>
      <c r="B24" s="23" t="s">
        <v>66</v>
      </c>
      <c r="C24" s="23" t="s">
        <v>66</v>
      </c>
      <c r="D24" s="23" t="s">
        <v>66</v>
      </c>
      <c r="E24" s="23" t="s">
        <v>66</v>
      </c>
    </row>
    <row r="26" spans="1:5">
      <c r="A26" s="18" t="s">
        <v>168</v>
      </c>
      <c r="B26" s="18" t="s">
        <v>168</v>
      </c>
      <c r="C26" s="18" t="s">
        <v>168</v>
      </c>
      <c r="D26" s="18" t="s">
        <v>168</v>
      </c>
      <c r="E26" s="18" t="s">
        <v>168</v>
      </c>
    </row>
    <row r="27" spans="1:5">
      <c r="A27" s="24" t="s">
        <v>126</v>
      </c>
      <c r="B27" s="24" t="s">
        <v>126</v>
      </c>
      <c r="C27" s="24" t="s">
        <v>126</v>
      </c>
      <c r="D27" s="24" t="s">
        <v>126</v>
      </c>
      <c r="E27" s="24" t="s">
        <v>126</v>
      </c>
    </row>
    <row r="28" spans="1:5">
      <c r="A28" s="10" t="s">
        <v>232</v>
      </c>
      <c r="B28" s="10" t="s">
        <v>233</v>
      </c>
      <c r="C28" s="10" t="s">
        <v>234</v>
      </c>
      <c r="D28" s="10" t="s">
        <v>235</v>
      </c>
      <c r="E28" s="10" t="s">
        <v>236</v>
      </c>
    </row>
    <row r="29" spans="1:5" ht="24.75">
      <c r="A29" s="11" t="s">
        <v>237</v>
      </c>
      <c r="B29" s="11" t="s">
        <v>133</v>
      </c>
      <c r="C29" s="11" t="s">
        <v>191</v>
      </c>
      <c r="D29" s="11" t="s">
        <v>819</v>
      </c>
      <c r="E29" s="11">
        <v>1</v>
      </c>
    </row>
    <row r="30" spans="1:5" ht="24.75">
      <c r="A30" s="11" t="s">
        <v>237</v>
      </c>
      <c r="B30" s="11" t="s">
        <v>133</v>
      </c>
      <c r="C30" s="11" t="s">
        <v>191</v>
      </c>
      <c r="D30" s="11" t="s">
        <v>820</v>
      </c>
      <c r="E30" s="11">
        <v>1</v>
      </c>
    </row>
    <row r="31" spans="1:5" ht="24.75">
      <c r="A31" s="11" t="s">
        <v>237</v>
      </c>
      <c r="B31" s="11" t="s">
        <v>133</v>
      </c>
      <c r="C31" s="11" t="s">
        <v>191</v>
      </c>
      <c r="D31" s="11" t="s">
        <v>821</v>
      </c>
      <c r="E31" s="11">
        <v>1</v>
      </c>
    </row>
    <row r="32" spans="1:5" ht="24.75">
      <c r="A32" s="11" t="s">
        <v>237</v>
      </c>
      <c r="B32" s="11" t="s">
        <v>133</v>
      </c>
      <c r="C32" s="11" t="s">
        <v>191</v>
      </c>
      <c r="D32" s="11" t="s">
        <v>822</v>
      </c>
      <c r="E32" s="11">
        <v>1</v>
      </c>
    </row>
    <row r="33" spans="1:5" ht="24.75">
      <c r="A33" s="11" t="s">
        <v>237</v>
      </c>
      <c r="B33" s="11" t="s">
        <v>133</v>
      </c>
      <c r="C33" s="11" t="s">
        <v>191</v>
      </c>
      <c r="D33" s="11" t="s">
        <v>823</v>
      </c>
      <c r="E33" s="11">
        <v>1</v>
      </c>
    </row>
    <row r="34" spans="1:5" ht="24.75">
      <c r="A34" s="11" t="s">
        <v>237</v>
      </c>
      <c r="B34" s="11" t="s">
        <v>133</v>
      </c>
      <c r="C34" s="11" t="s">
        <v>191</v>
      </c>
      <c r="D34" s="11" t="s">
        <v>824</v>
      </c>
      <c r="E34" s="11">
        <v>1</v>
      </c>
    </row>
    <row r="35" spans="1:5" ht="24.75">
      <c r="A35" s="11" t="s">
        <v>237</v>
      </c>
      <c r="B35" s="11" t="s">
        <v>133</v>
      </c>
      <c r="C35" s="11" t="s">
        <v>191</v>
      </c>
      <c r="D35" s="11" t="s">
        <v>825</v>
      </c>
      <c r="E35" s="11">
        <v>1</v>
      </c>
    </row>
    <row r="36" spans="1:5" ht="24.75">
      <c r="A36" s="11" t="s">
        <v>237</v>
      </c>
      <c r="B36" s="11" t="s">
        <v>133</v>
      </c>
      <c r="C36" s="11" t="s">
        <v>191</v>
      </c>
      <c r="D36" s="11" t="s">
        <v>826</v>
      </c>
      <c r="E36" s="11">
        <v>1</v>
      </c>
    </row>
    <row r="37" spans="1:5" ht="24.75">
      <c r="A37" s="11" t="s">
        <v>237</v>
      </c>
      <c r="B37" s="11" t="s">
        <v>133</v>
      </c>
      <c r="C37" s="11" t="s">
        <v>191</v>
      </c>
      <c r="D37" s="11" t="s">
        <v>827</v>
      </c>
      <c r="E37" s="11">
        <v>1</v>
      </c>
    </row>
    <row r="38" spans="1:5" ht="24.75">
      <c r="A38" s="11" t="s">
        <v>237</v>
      </c>
      <c r="B38" s="11" t="s">
        <v>133</v>
      </c>
      <c r="C38" s="11" t="s">
        <v>191</v>
      </c>
      <c r="D38" s="11" t="s">
        <v>828</v>
      </c>
      <c r="E38" s="11">
        <v>1</v>
      </c>
    </row>
    <row r="39" spans="1:5" ht="24.75">
      <c r="A39" s="11" t="s">
        <v>237</v>
      </c>
      <c r="B39" s="11" t="s">
        <v>133</v>
      </c>
      <c r="C39" s="11" t="s">
        <v>191</v>
      </c>
      <c r="D39" s="11" t="s">
        <v>829</v>
      </c>
      <c r="E39" s="11">
        <v>1</v>
      </c>
    </row>
    <row r="40" spans="1:5" ht="24.75">
      <c r="A40" s="11" t="s">
        <v>237</v>
      </c>
      <c r="B40" s="11" t="s">
        <v>133</v>
      </c>
      <c r="C40" s="11" t="s">
        <v>191</v>
      </c>
      <c r="D40" s="11" t="s">
        <v>830</v>
      </c>
      <c r="E40" s="11">
        <v>1</v>
      </c>
    </row>
    <row r="41" spans="1:5" ht="24.75">
      <c r="A41" s="11" t="s">
        <v>237</v>
      </c>
      <c r="B41" s="11" t="s">
        <v>133</v>
      </c>
      <c r="C41" s="11" t="s">
        <v>191</v>
      </c>
      <c r="D41" s="11" t="s">
        <v>831</v>
      </c>
      <c r="E41" s="11">
        <v>1</v>
      </c>
    </row>
    <row r="42" spans="1:5">
      <c r="A42" s="1" t="s">
        <v>126</v>
      </c>
      <c r="B42" s="1" t="s">
        <v>126</v>
      </c>
      <c r="C42" s="1">
        <f>SUBTOTAL(103,Elements138132[Elemento])</f>
        <v>13</v>
      </c>
      <c r="D42" s="1" t="s">
        <v>126</v>
      </c>
      <c r="E42" s="1">
        <f>SUBTOTAL(109,Elements138132[Totais:])</f>
        <v>13</v>
      </c>
    </row>
    <row r="45" spans="1:5">
      <c r="A45" s="23" t="s">
        <v>66</v>
      </c>
      <c r="B45" s="23" t="s">
        <v>66</v>
      </c>
      <c r="C45" s="23" t="s">
        <v>66</v>
      </c>
      <c r="D45" s="23" t="s">
        <v>66</v>
      </c>
      <c r="E45" s="23" t="s">
        <v>66</v>
      </c>
    </row>
    <row r="46" spans="1:5">
      <c r="A46" s="23" t="s">
        <v>66</v>
      </c>
      <c r="B46" s="23" t="s">
        <v>66</v>
      </c>
      <c r="C46" s="23" t="s">
        <v>66</v>
      </c>
      <c r="D46" s="23" t="s">
        <v>66</v>
      </c>
      <c r="E46" s="23" t="s">
        <v>66</v>
      </c>
    </row>
    <row r="48" spans="1:5">
      <c r="A48" s="18" t="s">
        <v>187</v>
      </c>
      <c r="B48" s="18" t="s">
        <v>187</v>
      </c>
      <c r="C48" s="18" t="s">
        <v>187</v>
      </c>
      <c r="D48" s="18" t="s">
        <v>187</v>
      </c>
      <c r="E48" s="18" t="s">
        <v>187</v>
      </c>
    </row>
    <row r="49" spans="1:5">
      <c r="A49" s="24" t="s">
        <v>126</v>
      </c>
      <c r="B49" s="24" t="s">
        <v>126</v>
      </c>
      <c r="C49" s="24" t="s">
        <v>126</v>
      </c>
      <c r="D49" s="24" t="s">
        <v>126</v>
      </c>
      <c r="E49" s="24" t="s">
        <v>126</v>
      </c>
    </row>
    <row r="50" spans="1:5">
      <c r="A50" s="10" t="s">
        <v>232</v>
      </c>
      <c r="B50" s="10" t="s">
        <v>233</v>
      </c>
      <c r="C50" s="10" t="s">
        <v>234</v>
      </c>
      <c r="D50" s="10" t="s">
        <v>235</v>
      </c>
      <c r="E50" s="10" t="s">
        <v>236</v>
      </c>
    </row>
    <row r="51" spans="1:5" ht="24.75">
      <c r="A51" s="11" t="s">
        <v>237</v>
      </c>
      <c r="B51" s="11" t="s">
        <v>133</v>
      </c>
      <c r="C51" s="11" t="s">
        <v>193</v>
      </c>
      <c r="D51" s="11" t="s">
        <v>832</v>
      </c>
      <c r="E51" s="11">
        <v>1</v>
      </c>
    </row>
    <row r="52" spans="1:5" ht="24.75">
      <c r="A52" s="11" t="s">
        <v>237</v>
      </c>
      <c r="B52" s="11" t="s">
        <v>133</v>
      </c>
      <c r="C52" s="11" t="s">
        <v>193</v>
      </c>
      <c r="D52" s="11" t="s">
        <v>833</v>
      </c>
      <c r="E52" s="11">
        <v>1</v>
      </c>
    </row>
    <row r="53" spans="1:5" ht="24.75">
      <c r="A53" s="11" t="s">
        <v>237</v>
      </c>
      <c r="B53" s="11" t="s">
        <v>133</v>
      </c>
      <c r="C53" s="11" t="s">
        <v>193</v>
      </c>
      <c r="D53" s="11" t="s">
        <v>834</v>
      </c>
      <c r="E53" s="11">
        <v>1</v>
      </c>
    </row>
    <row r="54" spans="1:5" ht="24.75">
      <c r="A54" s="11" t="s">
        <v>237</v>
      </c>
      <c r="B54" s="11" t="s">
        <v>133</v>
      </c>
      <c r="C54" s="11" t="s">
        <v>193</v>
      </c>
      <c r="D54" s="11" t="s">
        <v>835</v>
      </c>
      <c r="E54" s="11">
        <v>1</v>
      </c>
    </row>
    <row r="55" spans="1:5" ht="24.75">
      <c r="A55" s="11" t="s">
        <v>237</v>
      </c>
      <c r="B55" s="11" t="s">
        <v>133</v>
      </c>
      <c r="C55" s="11" t="s">
        <v>193</v>
      </c>
      <c r="D55" s="11" t="s">
        <v>836</v>
      </c>
      <c r="E55" s="11">
        <v>1</v>
      </c>
    </row>
    <row r="56" spans="1:5" ht="24.75">
      <c r="A56" s="11" t="s">
        <v>237</v>
      </c>
      <c r="B56" s="11" t="s">
        <v>133</v>
      </c>
      <c r="C56" s="11" t="s">
        <v>193</v>
      </c>
      <c r="D56" s="11" t="s">
        <v>837</v>
      </c>
      <c r="E56" s="11">
        <v>1</v>
      </c>
    </row>
    <row r="57" spans="1:5" ht="24.75">
      <c r="A57" s="11" t="s">
        <v>237</v>
      </c>
      <c r="B57" s="11" t="s">
        <v>133</v>
      </c>
      <c r="C57" s="11" t="s">
        <v>193</v>
      </c>
      <c r="D57" s="11" t="s">
        <v>838</v>
      </c>
      <c r="E57" s="11">
        <v>1</v>
      </c>
    </row>
    <row r="58" spans="1:5" ht="24.75">
      <c r="A58" s="11" t="s">
        <v>237</v>
      </c>
      <c r="B58" s="11" t="s">
        <v>133</v>
      </c>
      <c r="C58" s="11" t="s">
        <v>193</v>
      </c>
      <c r="D58" s="11" t="s">
        <v>839</v>
      </c>
      <c r="E58" s="11">
        <v>1</v>
      </c>
    </row>
    <row r="59" spans="1:5" ht="24.75">
      <c r="A59" s="11" t="s">
        <v>237</v>
      </c>
      <c r="B59" s="11" t="s">
        <v>133</v>
      </c>
      <c r="C59" s="11" t="s">
        <v>193</v>
      </c>
      <c r="D59" s="11" t="s">
        <v>840</v>
      </c>
      <c r="E59" s="11">
        <v>1</v>
      </c>
    </row>
    <row r="60" spans="1:5" ht="24.75">
      <c r="A60" s="11" t="s">
        <v>237</v>
      </c>
      <c r="B60" s="11" t="s">
        <v>133</v>
      </c>
      <c r="C60" s="11" t="s">
        <v>193</v>
      </c>
      <c r="D60" s="11" t="s">
        <v>841</v>
      </c>
      <c r="E60" s="11">
        <v>1</v>
      </c>
    </row>
    <row r="61" spans="1:5" ht="24.75">
      <c r="A61" s="11" t="s">
        <v>237</v>
      </c>
      <c r="B61" s="11" t="s">
        <v>133</v>
      </c>
      <c r="C61" s="11" t="s">
        <v>193</v>
      </c>
      <c r="D61" s="11" t="s">
        <v>842</v>
      </c>
      <c r="E61" s="11">
        <v>1</v>
      </c>
    </row>
    <row r="62" spans="1:5" ht="24.75">
      <c r="A62" s="11" t="s">
        <v>237</v>
      </c>
      <c r="B62" s="11" t="s">
        <v>133</v>
      </c>
      <c r="C62" s="11" t="s">
        <v>193</v>
      </c>
      <c r="D62" s="11" t="s">
        <v>843</v>
      </c>
      <c r="E62" s="11">
        <v>1</v>
      </c>
    </row>
    <row r="63" spans="1:5" ht="24.75">
      <c r="A63" s="11" t="s">
        <v>237</v>
      </c>
      <c r="B63" s="11" t="s">
        <v>133</v>
      </c>
      <c r="C63" s="11" t="s">
        <v>193</v>
      </c>
      <c r="D63" s="11" t="s">
        <v>844</v>
      </c>
      <c r="E63" s="11">
        <v>1</v>
      </c>
    </row>
    <row r="64" spans="1:5" ht="24.75">
      <c r="A64" s="11" t="s">
        <v>237</v>
      </c>
      <c r="B64" s="11" t="s">
        <v>133</v>
      </c>
      <c r="C64" s="11" t="s">
        <v>193</v>
      </c>
      <c r="D64" s="11" t="s">
        <v>845</v>
      </c>
      <c r="E64" s="11">
        <v>1</v>
      </c>
    </row>
    <row r="65" spans="1:5" ht="24.75">
      <c r="A65" s="11" t="s">
        <v>237</v>
      </c>
      <c r="B65" s="11" t="s">
        <v>133</v>
      </c>
      <c r="C65" s="11" t="s">
        <v>193</v>
      </c>
      <c r="D65" s="11" t="s">
        <v>846</v>
      </c>
      <c r="E65" s="11">
        <v>1</v>
      </c>
    </row>
    <row r="66" spans="1:5" ht="24.75">
      <c r="A66" s="11" t="s">
        <v>237</v>
      </c>
      <c r="B66" s="11" t="s">
        <v>133</v>
      </c>
      <c r="C66" s="11" t="s">
        <v>193</v>
      </c>
      <c r="D66" s="11" t="s">
        <v>847</v>
      </c>
      <c r="E66" s="11">
        <v>1</v>
      </c>
    </row>
    <row r="67" spans="1:5" ht="24.75">
      <c r="A67" s="11" t="s">
        <v>237</v>
      </c>
      <c r="B67" s="11" t="s">
        <v>133</v>
      </c>
      <c r="C67" s="11" t="s">
        <v>193</v>
      </c>
      <c r="D67" s="11" t="s">
        <v>848</v>
      </c>
      <c r="E67" s="11">
        <v>1</v>
      </c>
    </row>
    <row r="68" spans="1:5" ht="24.75">
      <c r="A68" s="11" t="s">
        <v>237</v>
      </c>
      <c r="B68" s="11" t="s">
        <v>133</v>
      </c>
      <c r="C68" s="11" t="s">
        <v>193</v>
      </c>
      <c r="D68" s="11" t="s">
        <v>849</v>
      </c>
      <c r="E68" s="11">
        <v>1</v>
      </c>
    </row>
    <row r="69" spans="1:5" ht="24.75">
      <c r="A69" s="11" t="s">
        <v>237</v>
      </c>
      <c r="B69" s="11" t="s">
        <v>133</v>
      </c>
      <c r="C69" s="11" t="s">
        <v>193</v>
      </c>
      <c r="D69" s="11" t="s">
        <v>850</v>
      </c>
      <c r="E69" s="11">
        <v>1</v>
      </c>
    </row>
    <row r="70" spans="1:5" ht="24.75">
      <c r="A70" s="11" t="s">
        <v>237</v>
      </c>
      <c r="B70" s="11" t="s">
        <v>133</v>
      </c>
      <c r="C70" s="11" t="s">
        <v>193</v>
      </c>
      <c r="D70" s="11" t="s">
        <v>851</v>
      </c>
      <c r="E70" s="11">
        <v>1</v>
      </c>
    </row>
    <row r="71" spans="1:5" ht="24.75">
      <c r="A71" s="11" t="s">
        <v>237</v>
      </c>
      <c r="B71" s="11" t="s">
        <v>133</v>
      </c>
      <c r="C71" s="11" t="s">
        <v>193</v>
      </c>
      <c r="D71" s="11" t="s">
        <v>852</v>
      </c>
      <c r="E71" s="11">
        <v>1</v>
      </c>
    </row>
    <row r="72" spans="1:5" ht="24.75">
      <c r="A72" s="11" t="s">
        <v>237</v>
      </c>
      <c r="B72" s="11" t="s">
        <v>133</v>
      </c>
      <c r="C72" s="11" t="s">
        <v>193</v>
      </c>
      <c r="D72" s="11" t="s">
        <v>853</v>
      </c>
      <c r="E72" s="11">
        <v>1</v>
      </c>
    </row>
    <row r="73" spans="1:5" ht="24.75">
      <c r="A73" s="11" t="s">
        <v>237</v>
      </c>
      <c r="B73" s="11" t="s">
        <v>133</v>
      </c>
      <c r="C73" s="11" t="s">
        <v>193</v>
      </c>
      <c r="D73" s="11" t="s">
        <v>854</v>
      </c>
      <c r="E73" s="11">
        <v>1</v>
      </c>
    </row>
    <row r="74" spans="1:5" ht="24.75">
      <c r="A74" s="11" t="s">
        <v>237</v>
      </c>
      <c r="B74" s="11" t="s">
        <v>133</v>
      </c>
      <c r="C74" s="11" t="s">
        <v>193</v>
      </c>
      <c r="D74" s="11" t="s">
        <v>855</v>
      </c>
      <c r="E74" s="11">
        <v>1</v>
      </c>
    </row>
    <row r="75" spans="1:5" ht="24.75">
      <c r="A75" s="11" t="s">
        <v>237</v>
      </c>
      <c r="B75" s="11" t="s">
        <v>133</v>
      </c>
      <c r="C75" s="11" t="s">
        <v>193</v>
      </c>
      <c r="D75" s="11" t="s">
        <v>856</v>
      </c>
      <c r="E75" s="11">
        <v>1</v>
      </c>
    </row>
    <row r="76" spans="1:5" ht="24.75">
      <c r="A76" s="11" t="s">
        <v>237</v>
      </c>
      <c r="B76" s="11" t="s">
        <v>133</v>
      </c>
      <c r="C76" s="11" t="s">
        <v>193</v>
      </c>
      <c r="D76" s="11" t="s">
        <v>857</v>
      </c>
      <c r="E76" s="11">
        <v>1</v>
      </c>
    </row>
    <row r="77" spans="1:5">
      <c r="A77" s="1" t="s">
        <v>126</v>
      </c>
      <c r="B77" s="1" t="s">
        <v>126</v>
      </c>
      <c r="C77" s="1">
        <f>SUBTOTAL(103,Elements138133[Elemento])</f>
        <v>26</v>
      </c>
      <c r="D77" s="1" t="s">
        <v>126</v>
      </c>
      <c r="E77" s="1">
        <f>SUBTOTAL(109,Elements138133[Totais:])</f>
        <v>26</v>
      </c>
    </row>
    <row r="80" spans="1:5">
      <c r="A80" s="23" t="s">
        <v>66</v>
      </c>
      <c r="B80" s="23" t="s">
        <v>66</v>
      </c>
      <c r="C80" s="23" t="s">
        <v>66</v>
      </c>
      <c r="D80" s="23" t="s">
        <v>66</v>
      </c>
      <c r="E80" s="23" t="s">
        <v>66</v>
      </c>
    </row>
    <row r="81" spans="1:5">
      <c r="A81" s="23" t="s">
        <v>66</v>
      </c>
      <c r="B81" s="23" t="s">
        <v>66</v>
      </c>
      <c r="C81" s="23" t="s">
        <v>66</v>
      </c>
      <c r="D81" s="23" t="s">
        <v>66</v>
      </c>
      <c r="E81" s="23" t="s">
        <v>66</v>
      </c>
    </row>
    <row r="83" spans="1:5">
      <c r="A83" s="18" t="s">
        <v>187</v>
      </c>
      <c r="B83" s="18" t="s">
        <v>187</v>
      </c>
      <c r="C83" s="18" t="s">
        <v>187</v>
      </c>
      <c r="D83" s="18" t="s">
        <v>187</v>
      </c>
      <c r="E83" s="18" t="s">
        <v>187</v>
      </c>
    </row>
    <row r="84" spans="1:5">
      <c r="A84" s="24" t="s">
        <v>126</v>
      </c>
      <c r="B84" s="24" t="s">
        <v>126</v>
      </c>
      <c r="C84" s="24" t="s">
        <v>126</v>
      </c>
      <c r="D84" s="24" t="s">
        <v>126</v>
      </c>
      <c r="E84" s="24" t="s">
        <v>126</v>
      </c>
    </row>
    <row r="85" spans="1:5">
      <c r="A85" s="10" t="s">
        <v>232</v>
      </c>
      <c r="B85" s="10" t="s">
        <v>233</v>
      </c>
      <c r="C85" s="10" t="s">
        <v>234</v>
      </c>
      <c r="D85" s="10" t="s">
        <v>235</v>
      </c>
      <c r="E85" s="10" t="s">
        <v>236</v>
      </c>
    </row>
    <row r="86" spans="1:5" ht="24.75">
      <c r="A86" s="11" t="s">
        <v>237</v>
      </c>
      <c r="B86" s="11" t="s">
        <v>133</v>
      </c>
      <c r="C86" s="11" t="s">
        <v>194</v>
      </c>
      <c r="D86" s="11" t="s">
        <v>858</v>
      </c>
      <c r="E86" s="11">
        <v>1</v>
      </c>
    </row>
    <row r="87" spans="1:5" ht="24.75">
      <c r="A87" s="11" t="s">
        <v>237</v>
      </c>
      <c r="B87" s="11" t="s">
        <v>133</v>
      </c>
      <c r="C87" s="11" t="s">
        <v>194</v>
      </c>
      <c r="D87" s="11" t="s">
        <v>859</v>
      </c>
      <c r="E87" s="11">
        <v>1</v>
      </c>
    </row>
    <row r="88" spans="1:5" ht="24.75">
      <c r="A88" s="11" t="s">
        <v>237</v>
      </c>
      <c r="B88" s="11" t="s">
        <v>133</v>
      </c>
      <c r="C88" s="11" t="s">
        <v>194</v>
      </c>
      <c r="D88" s="11" t="s">
        <v>860</v>
      </c>
      <c r="E88" s="11">
        <v>1</v>
      </c>
    </row>
    <row r="89" spans="1:5" ht="24.75">
      <c r="A89" s="11" t="s">
        <v>237</v>
      </c>
      <c r="B89" s="11" t="s">
        <v>133</v>
      </c>
      <c r="C89" s="11" t="s">
        <v>194</v>
      </c>
      <c r="D89" s="11" t="s">
        <v>861</v>
      </c>
      <c r="E89" s="11">
        <v>1</v>
      </c>
    </row>
    <row r="90" spans="1:5" ht="24.75">
      <c r="A90" s="11" t="s">
        <v>237</v>
      </c>
      <c r="B90" s="11" t="s">
        <v>133</v>
      </c>
      <c r="C90" s="11" t="s">
        <v>194</v>
      </c>
      <c r="D90" s="11" t="s">
        <v>862</v>
      </c>
      <c r="E90" s="11">
        <v>1</v>
      </c>
    </row>
    <row r="91" spans="1:5" ht="24.75">
      <c r="A91" s="11" t="s">
        <v>237</v>
      </c>
      <c r="B91" s="11" t="s">
        <v>133</v>
      </c>
      <c r="C91" s="11" t="s">
        <v>194</v>
      </c>
      <c r="D91" s="11" t="s">
        <v>863</v>
      </c>
      <c r="E91" s="11">
        <v>1</v>
      </c>
    </row>
    <row r="92" spans="1:5" ht="24.75">
      <c r="A92" s="11" t="s">
        <v>237</v>
      </c>
      <c r="B92" s="11" t="s">
        <v>133</v>
      </c>
      <c r="C92" s="11" t="s">
        <v>194</v>
      </c>
      <c r="D92" s="11" t="s">
        <v>864</v>
      </c>
      <c r="E92" s="11">
        <v>1</v>
      </c>
    </row>
    <row r="93" spans="1:5" ht="24.75">
      <c r="A93" s="11" t="s">
        <v>237</v>
      </c>
      <c r="B93" s="11" t="s">
        <v>133</v>
      </c>
      <c r="C93" s="11" t="s">
        <v>194</v>
      </c>
      <c r="D93" s="11" t="s">
        <v>865</v>
      </c>
      <c r="E93" s="11">
        <v>1</v>
      </c>
    </row>
    <row r="94" spans="1:5" ht="24.75">
      <c r="A94" s="11" t="s">
        <v>237</v>
      </c>
      <c r="B94" s="11" t="s">
        <v>133</v>
      </c>
      <c r="C94" s="11" t="s">
        <v>194</v>
      </c>
      <c r="D94" s="11" t="s">
        <v>866</v>
      </c>
      <c r="E94" s="11">
        <v>1</v>
      </c>
    </row>
    <row r="95" spans="1:5" ht="24.75">
      <c r="A95" s="11" t="s">
        <v>237</v>
      </c>
      <c r="B95" s="11" t="s">
        <v>133</v>
      </c>
      <c r="C95" s="11" t="s">
        <v>194</v>
      </c>
      <c r="D95" s="11" t="s">
        <v>867</v>
      </c>
      <c r="E95" s="11">
        <v>1</v>
      </c>
    </row>
    <row r="96" spans="1:5" ht="24.75">
      <c r="A96" s="11" t="s">
        <v>237</v>
      </c>
      <c r="B96" s="11" t="s">
        <v>133</v>
      </c>
      <c r="C96" s="11" t="s">
        <v>194</v>
      </c>
      <c r="D96" s="11" t="s">
        <v>868</v>
      </c>
      <c r="E96" s="11">
        <v>1</v>
      </c>
    </row>
    <row r="97" spans="1:5" ht="24.75">
      <c r="A97" s="11" t="s">
        <v>237</v>
      </c>
      <c r="B97" s="11" t="s">
        <v>133</v>
      </c>
      <c r="C97" s="11" t="s">
        <v>194</v>
      </c>
      <c r="D97" s="11" t="s">
        <v>869</v>
      </c>
      <c r="E97" s="11">
        <v>1</v>
      </c>
    </row>
    <row r="98" spans="1:5" ht="24.75">
      <c r="A98" s="11" t="s">
        <v>237</v>
      </c>
      <c r="B98" s="11" t="s">
        <v>133</v>
      </c>
      <c r="C98" s="11" t="s">
        <v>194</v>
      </c>
      <c r="D98" s="11" t="s">
        <v>870</v>
      </c>
      <c r="E98" s="11">
        <v>1</v>
      </c>
    </row>
    <row r="99" spans="1:5" ht="24.75">
      <c r="A99" s="11" t="s">
        <v>237</v>
      </c>
      <c r="B99" s="11" t="s">
        <v>133</v>
      </c>
      <c r="C99" s="11" t="s">
        <v>194</v>
      </c>
      <c r="D99" s="11" t="s">
        <v>871</v>
      </c>
      <c r="E99" s="11">
        <v>1</v>
      </c>
    </row>
    <row r="100" spans="1:5" ht="24.75">
      <c r="A100" s="11" t="s">
        <v>237</v>
      </c>
      <c r="B100" s="11" t="s">
        <v>133</v>
      </c>
      <c r="C100" s="11" t="s">
        <v>194</v>
      </c>
      <c r="D100" s="11" t="s">
        <v>872</v>
      </c>
      <c r="E100" s="11">
        <v>1</v>
      </c>
    </row>
    <row r="101" spans="1:5" ht="24.75">
      <c r="A101" s="11" t="s">
        <v>237</v>
      </c>
      <c r="B101" s="11" t="s">
        <v>133</v>
      </c>
      <c r="C101" s="11" t="s">
        <v>194</v>
      </c>
      <c r="D101" s="11" t="s">
        <v>873</v>
      </c>
      <c r="E101" s="11">
        <v>1</v>
      </c>
    </row>
    <row r="102" spans="1:5" ht="24.75">
      <c r="A102" s="11" t="s">
        <v>237</v>
      </c>
      <c r="B102" s="11" t="s">
        <v>133</v>
      </c>
      <c r="C102" s="11" t="s">
        <v>194</v>
      </c>
      <c r="D102" s="11" t="s">
        <v>874</v>
      </c>
      <c r="E102" s="11">
        <v>1</v>
      </c>
    </row>
    <row r="103" spans="1:5" ht="24.75">
      <c r="A103" s="11" t="s">
        <v>237</v>
      </c>
      <c r="B103" s="11" t="s">
        <v>133</v>
      </c>
      <c r="C103" s="11" t="s">
        <v>194</v>
      </c>
      <c r="D103" s="11" t="s">
        <v>875</v>
      </c>
      <c r="E103" s="11">
        <v>1</v>
      </c>
    </row>
    <row r="104" spans="1:5" ht="24.75">
      <c r="A104" s="11" t="s">
        <v>237</v>
      </c>
      <c r="B104" s="11" t="s">
        <v>133</v>
      </c>
      <c r="C104" s="11" t="s">
        <v>194</v>
      </c>
      <c r="D104" s="11" t="s">
        <v>876</v>
      </c>
      <c r="E104" s="11">
        <v>1</v>
      </c>
    </row>
    <row r="105" spans="1:5" ht="24.75">
      <c r="A105" s="11" t="s">
        <v>237</v>
      </c>
      <c r="B105" s="11" t="s">
        <v>133</v>
      </c>
      <c r="C105" s="11" t="s">
        <v>194</v>
      </c>
      <c r="D105" s="11" t="s">
        <v>877</v>
      </c>
      <c r="E105" s="11">
        <v>1</v>
      </c>
    </row>
    <row r="106" spans="1:5" ht="24.75">
      <c r="A106" s="11" t="s">
        <v>237</v>
      </c>
      <c r="B106" s="11" t="s">
        <v>133</v>
      </c>
      <c r="C106" s="11" t="s">
        <v>194</v>
      </c>
      <c r="D106" s="11" t="s">
        <v>878</v>
      </c>
      <c r="E106" s="11">
        <v>1</v>
      </c>
    </row>
    <row r="107" spans="1:5" ht="24.75">
      <c r="A107" s="11" t="s">
        <v>237</v>
      </c>
      <c r="B107" s="11" t="s">
        <v>133</v>
      </c>
      <c r="C107" s="11" t="s">
        <v>194</v>
      </c>
      <c r="D107" s="11" t="s">
        <v>879</v>
      </c>
      <c r="E107" s="11">
        <v>1</v>
      </c>
    </row>
    <row r="108" spans="1:5" ht="24.75">
      <c r="A108" s="11" t="s">
        <v>237</v>
      </c>
      <c r="B108" s="11" t="s">
        <v>133</v>
      </c>
      <c r="C108" s="11" t="s">
        <v>194</v>
      </c>
      <c r="D108" s="11" t="s">
        <v>880</v>
      </c>
      <c r="E108" s="11">
        <v>1</v>
      </c>
    </row>
    <row r="109" spans="1:5" ht="24.75">
      <c r="A109" s="11" t="s">
        <v>237</v>
      </c>
      <c r="B109" s="11" t="s">
        <v>133</v>
      </c>
      <c r="C109" s="11" t="s">
        <v>194</v>
      </c>
      <c r="D109" s="11" t="s">
        <v>881</v>
      </c>
      <c r="E109" s="11">
        <v>1</v>
      </c>
    </row>
    <row r="110" spans="1:5" ht="24.75">
      <c r="A110" s="11" t="s">
        <v>237</v>
      </c>
      <c r="B110" s="11" t="s">
        <v>133</v>
      </c>
      <c r="C110" s="11" t="s">
        <v>194</v>
      </c>
      <c r="D110" s="11" t="s">
        <v>882</v>
      </c>
      <c r="E110" s="11">
        <v>1</v>
      </c>
    </row>
    <row r="111" spans="1:5" ht="24.75">
      <c r="A111" s="11" t="s">
        <v>237</v>
      </c>
      <c r="B111" s="11" t="s">
        <v>133</v>
      </c>
      <c r="C111" s="11" t="s">
        <v>194</v>
      </c>
      <c r="D111" s="11" t="s">
        <v>883</v>
      </c>
      <c r="E111" s="11">
        <v>1</v>
      </c>
    </row>
    <row r="112" spans="1:5" ht="24.75">
      <c r="A112" s="11" t="s">
        <v>237</v>
      </c>
      <c r="B112" s="11" t="s">
        <v>133</v>
      </c>
      <c r="C112" s="11" t="s">
        <v>194</v>
      </c>
      <c r="D112" s="11" t="s">
        <v>884</v>
      </c>
      <c r="E112" s="11">
        <v>1</v>
      </c>
    </row>
    <row r="113" spans="1:5" ht="24.75">
      <c r="A113" s="11" t="s">
        <v>237</v>
      </c>
      <c r="B113" s="11" t="s">
        <v>133</v>
      </c>
      <c r="C113" s="11" t="s">
        <v>194</v>
      </c>
      <c r="D113" s="11" t="s">
        <v>885</v>
      </c>
      <c r="E113" s="11">
        <v>1</v>
      </c>
    </row>
    <row r="114" spans="1:5" ht="24.75">
      <c r="A114" s="11" t="s">
        <v>237</v>
      </c>
      <c r="B114" s="11" t="s">
        <v>133</v>
      </c>
      <c r="C114" s="11" t="s">
        <v>194</v>
      </c>
      <c r="D114" s="11" t="s">
        <v>886</v>
      </c>
      <c r="E114" s="11">
        <v>1</v>
      </c>
    </row>
    <row r="115" spans="1:5" ht="24.75">
      <c r="A115" s="11" t="s">
        <v>237</v>
      </c>
      <c r="B115" s="11" t="s">
        <v>133</v>
      </c>
      <c r="C115" s="11" t="s">
        <v>194</v>
      </c>
      <c r="D115" s="11" t="s">
        <v>887</v>
      </c>
      <c r="E115" s="11">
        <v>1</v>
      </c>
    </row>
    <row r="116" spans="1:5" ht="24.75">
      <c r="A116" s="11" t="s">
        <v>237</v>
      </c>
      <c r="B116" s="11" t="s">
        <v>133</v>
      </c>
      <c r="C116" s="11" t="s">
        <v>194</v>
      </c>
      <c r="D116" s="11" t="s">
        <v>888</v>
      </c>
      <c r="E116" s="11">
        <v>1</v>
      </c>
    </row>
    <row r="117" spans="1:5" ht="24.75">
      <c r="A117" s="11" t="s">
        <v>237</v>
      </c>
      <c r="B117" s="11" t="s">
        <v>133</v>
      </c>
      <c r="C117" s="11" t="s">
        <v>194</v>
      </c>
      <c r="D117" s="11" t="s">
        <v>889</v>
      </c>
      <c r="E117" s="11">
        <v>1</v>
      </c>
    </row>
    <row r="118" spans="1:5" ht="24.75">
      <c r="A118" s="11" t="s">
        <v>237</v>
      </c>
      <c r="B118" s="11" t="s">
        <v>133</v>
      </c>
      <c r="C118" s="11" t="s">
        <v>194</v>
      </c>
      <c r="D118" s="11" t="s">
        <v>890</v>
      </c>
      <c r="E118" s="11">
        <v>1</v>
      </c>
    </row>
    <row r="119" spans="1:5" ht="24.75">
      <c r="A119" s="11" t="s">
        <v>237</v>
      </c>
      <c r="B119" s="11" t="s">
        <v>133</v>
      </c>
      <c r="C119" s="11" t="s">
        <v>194</v>
      </c>
      <c r="D119" s="11" t="s">
        <v>891</v>
      </c>
      <c r="E119" s="11">
        <v>1</v>
      </c>
    </row>
    <row r="120" spans="1:5" ht="24.75">
      <c r="A120" s="11" t="s">
        <v>237</v>
      </c>
      <c r="B120" s="11" t="s">
        <v>133</v>
      </c>
      <c r="C120" s="11" t="s">
        <v>194</v>
      </c>
      <c r="D120" s="11" t="s">
        <v>892</v>
      </c>
      <c r="E120" s="11">
        <v>1</v>
      </c>
    </row>
    <row r="121" spans="1:5" ht="24.75">
      <c r="A121" s="11" t="s">
        <v>237</v>
      </c>
      <c r="B121" s="11" t="s">
        <v>133</v>
      </c>
      <c r="C121" s="11" t="s">
        <v>194</v>
      </c>
      <c r="D121" s="11" t="s">
        <v>893</v>
      </c>
      <c r="E121" s="11">
        <v>1</v>
      </c>
    </row>
    <row r="122" spans="1:5" ht="24.75">
      <c r="A122" s="11" t="s">
        <v>237</v>
      </c>
      <c r="B122" s="11" t="s">
        <v>133</v>
      </c>
      <c r="C122" s="11" t="s">
        <v>194</v>
      </c>
      <c r="D122" s="11" t="s">
        <v>894</v>
      </c>
      <c r="E122" s="11">
        <v>1</v>
      </c>
    </row>
    <row r="123" spans="1:5" ht="24.75">
      <c r="A123" s="11" t="s">
        <v>237</v>
      </c>
      <c r="B123" s="11" t="s">
        <v>133</v>
      </c>
      <c r="C123" s="11" t="s">
        <v>194</v>
      </c>
      <c r="D123" s="11" t="s">
        <v>895</v>
      </c>
      <c r="E123" s="11">
        <v>1</v>
      </c>
    </row>
    <row r="124" spans="1:5" ht="24.75">
      <c r="A124" s="11" t="s">
        <v>237</v>
      </c>
      <c r="B124" s="11" t="s">
        <v>133</v>
      </c>
      <c r="C124" s="11" t="s">
        <v>194</v>
      </c>
      <c r="D124" s="11" t="s">
        <v>896</v>
      </c>
      <c r="E124" s="11">
        <v>1</v>
      </c>
    </row>
    <row r="125" spans="1:5" ht="24.75">
      <c r="A125" s="11" t="s">
        <v>237</v>
      </c>
      <c r="B125" s="11" t="s">
        <v>133</v>
      </c>
      <c r="C125" s="11" t="s">
        <v>194</v>
      </c>
      <c r="D125" s="11" t="s">
        <v>897</v>
      </c>
      <c r="E125" s="11">
        <v>1</v>
      </c>
    </row>
    <row r="126" spans="1:5" ht="24.75">
      <c r="A126" s="11" t="s">
        <v>237</v>
      </c>
      <c r="B126" s="11" t="s">
        <v>133</v>
      </c>
      <c r="C126" s="11" t="s">
        <v>194</v>
      </c>
      <c r="D126" s="11" t="s">
        <v>898</v>
      </c>
      <c r="E126" s="11">
        <v>1</v>
      </c>
    </row>
    <row r="127" spans="1:5" ht="24.75">
      <c r="A127" s="11" t="s">
        <v>237</v>
      </c>
      <c r="B127" s="11" t="s">
        <v>133</v>
      </c>
      <c r="C127" s="11" t="s">
        <v>194</v>
      </c>
      <c r="D127" s="11" t="s">
        <v>899</v>
      </c>
      <c r="E127" s="11">
        <v>1</v>
      </c>
    </row>
    <row r="128" spans="1:5" ht="24.75">
      <c r="A128" s="11" t="s">
        <v>237</v>
      </c>
      <c r="B128" s="11" t="s">
        <v>133</v>
      </c>
      <c r="C128" s="11" t="s">
        <v>194</v>
      </c>
      <c r="D128" s="11" t="s">
        <v>900</v>
      </c>
      <c r="E128" s="11">
        <v>1</v>
      </c>
    </row>
    <row r="129" spans="1:5" ht="24.75">
      <c r="A129" s="11" t="s">
        <v>237</v>
      </c>
      <c r="B129" s="11" t="s">
        <v>133</v>
      </c>
      <c r="C129" s="11" t="s">
        <v>194</v>
      </c>
      <c r="D129" s="11" t="s">
        <v>901</v>
      </c>
      <c r="E129" s="11">
        <v>1</v>
      </c>
    </row>
    <row r="130" spans="1:5" ht="24.75">
      <c r="A130" s="11" t="s">
        <v>237</v>
      </c>
      <c r="B130" s="11" t="s">
        <v>133</v>
      </c>
      <c r="C130" s="11" t="s">
        <v>194</v>
      </c>
      <c r="D130" s="11" t="s">
        <v>902</v>
      </c>
      <c r="E130" s="11">
        <v>1</v>
      </c>
    </row>
    <row r="131" spans="1:5" ht="24.75">
      <c r="A131" s="11" t="s">
        <v>237</v>
      </c>
      <c r="B131" s="11" t="s">
        <v>133</v>
      </c>
      <c r="C131" s="11" t="s">
        <v>194</v>
      </c>
      <c r="D131" s="11" t="s">
        <v>903</v>
      </c>
      <c r="E131" s="11">
        <v>1</v>
      </c>
    </row>
    <row r="132" spans="1:5" ht="24.75">
      <c r="A132" s="11" t="s">
        <v>237</v>
      </c>
      <c r="B132" s="11" t="s">
        <v>133</v>
      </c>
      <c r="C132" s="11" t="s">
        <v>194</v>
      </c>
      <c r="D132" s="11" t="s">
        <v>904</v>
      </c>
      <c r="E132" s="11">
        <v>1</v>
      </c>
    </row>
    <row r="133" spans="1:5" ht="24.75">
      <c r="A133" s="11" t="s">
        <v>237</v>
      </c>
      <c r="B133" s="11" t="s">
        <v>133</v>
      </c>
      <c r="C133" s="11" t="s">
        <v>194</v>
      </c>
      <c r="D133" s="11" t="s">
        <v>905</v>
      </c>
      <c r="E133" s="11">
        <v>1</v>
      </c>
    </row>
    <row r="134" spans="1:5" ht="24.75">
      <c r="A134" s="11" t="s">
        <v>237</v>
      </c>
      <c r="B134" s="11" t="s">
        <v>133</v>
      </c>
      <c r="C134" s="11" t="s">
        <v>194</v>
      </c>
      <c r="D134" s="11" t="s">
        <v>906</v>
      </c>
      <c r="E134" s="11">
        <v>1</v>
      </c>
    </row>
    <row r="135" spans="1:5" ht="24.75">
      <c r="A135" s="11" t="s">
        <v>237</v>
      </c>
      <c r="B135" s="11" t="s">
        <v>133</v>
      </c>
      <c r="C135" s="11" t="s">
        <v>194</v>
      </c>
      <c r="D135" s="11" t="s">
        <v>907</v>
      </c>
      <c r="E135" s="11">
        <v>1</v>
      </c>
    </row>
    <row r="136" spans="1:5" ht="24.75">
      <c r="A136" s="11" t="s">
        <v>237</v>
      </c>
      <c r="B136" s="11" t="s">
        <v>133</v>
      </c>
      <c r="C136" s="11" t="s">
        <v>194</v>
      </c>
      <c r="D136" s="11" t="s">
        <v>908</v>
      </c>
      <c r="E136" s="11">
        <v>1</v>
      </c>
    </row>
    <row r="137" spans="1:5" ht="24.75">
      <c r="A137" s="11" t="s">
        <v>237</v>
      </c>
      <c r="B137" s="11" t="s">
        <v>133</v>
      </c>
      <c r="C137" s="11" t="s">
        <v>194</v>
      </c>
      <c r="D137" s="11" t="s">
        <v>909</v>
      </c>
      <c r="E137" s="11">
        <v>1</v>
      </c>
    </row>
    <row r="138" spans="1:5" ht="24.75">
      <c r="A138" s="11" t="s">
        <v>237</v>
      </c>
      <c r="B138" s="11" t="s">
        <v>133</v>
      </c>
      <c r="C138" s="11" t="s">
        <v>194</v>
      </c>
      <c r="D138" s="11" t="s">
        <v>910</v>
      </c>
      <c r="E138" s="11">
        <v>1</v>
      </c>
    </row>
    <row r="139" spans="1:5" ht="24.75">
      <c r="A139" s="11" t="s">
        <v>237</v>
      </c>
      <c r="B139" s="11" t="s">
        <v>133</v>
      </c>
      <c r="C139" s="11" t="s">
        <v>194</v>
      </c>
      <c r="D139" s="11" t="s">
        <v>911</v>
      </c>
      <c r="E139" s="11">
        <v>1</v>
      </c>
    </row>
    <row r="140" spans="1:5" ht="24.75">
      <c r="A140" s="11" t="s">
        <v>237</v>
      </c>
      <c r="B140" s="11" t="s">
        <v>133</v>
      </c>
      <c r="C140" s="11" t="s">
        <v>194</v>
      </c>
      <c r="D140" s="11" t="s">
        <v>912</v>
      </c>
      <c r="E140" s="11">
        <v>1</v>
      </c>
    </row>
    <row r="141" spans="1:5" ht="24.75">
      <c r="A141" s="11" t="s">
        <v>237</v>
      </c>
      <c r="B141" s="11" t="s">
        <v>133</v>
      </c>
      <c r="C141" s="11" t="s">
        <v>194</v>
      </c>
      <c r="D141" s="11" t="s">
        <v>913</v>
      </c>
      <c r="E141" s="11">
        <v>1</v>
      </c>
    </row>
    <row r="142" spans="1:5" ht="24.75">
      <c r="A142" s="11" t="s">
        <v>237</v>
      </c>
      <c r="B142" s="11" t="s">
        <v>133</v>
      </c>
      <c r="C142" s="11" t="s">
        <v>194</v>
      </c>
      <c r="D142" s="11" t="s">
        <v>914</v>
      </c>
      <c r="E142" s="11">
        <v>1</v>
      </c>
    </row>
    <row r="143" spans="1:5" ht="24.75">
      <c r="A143" s="11" t="s">
        <v>237</v>
      </c>
      <c r="B143" s="11" t="s">
        <v>133</v>
      </c>
      <c r="C143" s="11" t="s">
        <v>194</v>
      </c>
      <c r="D143" s="11" t="s">
        <v>915</v>
      </c>
      <c r="E143" s="11">
        <v>1</v>
      </c>
    </row>
    <row r="144" spans="1:5" ht="24.75">
      <c r="A144" s="11" t="s">
        <v>237</v>
      </c>
      <c r="B144" s="11" t="s">
        <v>133</v>
      </c>
      <c r="C144" s="11" t="s">
        <v>194</v>
      </c>
      <c r="D144" s="11" t="s">
        <v>916</v>
      </c>
      <c r="E144" s="11">
        <v>1</v>
      </c>
    </row>
    <row r="145" spans="1:5" ht="24.75">
      <c r="A145" s="11" t="s">
        <v>237</v>
      </c>
      <c r="B145" s="11" t="s">
        <v>133</v>
      </c>
      <c r="C145" s="11" t="s">
        <v>194</v>
      </c>
      <c r="D145" s="11" t="s">
        <v>917</v>
      </c>
      <c r="E145" s="11">
        <v>1</v>
      </c>
    </row>
    <row r="146" spans="1:5" ht="24.75">
      <c r="A146" s="11" t="s">
        <v>237</v>
      </c>
      <c r="B146" s="11" t="s">
        <v>133</v>
      </c>
      <c r="C146" s="11" t="s">
        <v>194</v>
      </c>
      <c r="D146" s="11" t="s">
        <v>918</v>
      </c>
      <c r="E146" s="11">
        <v>1</v>
      </c>
    </row>
    <row r="147" spans="1:5" ht="24.75">
      <c r="A147" s="11" t="s">
        <v>237</v>
      </c>
      <c r="B147" s="11" t="s">
        <v>133</v>
      </c>
      <c r="C147" s="11" t="s">
        <v>194</v>
      </c>
      <c r="D147" s="11" t="s">
        <v>919</v>
      </c>
      <c r="E147" s="11">
        <v>1</v>
      </c>
    </row>
    <row r="148" spans="1:5" ht="24.75">
      <c r="A148" s="11" t="s">
        <v>237</v>
      </c>
      <c r="B148" s="11" t="s">
        <v>133</v>
      </c>
      <c r="C148" s="11" t="s">
        <v>194</v>
      </c>
      <c r="D148" s="11" t="s">
        <v>920</v>
      </c>
      <c r="E148" s="11">
        <v>1</v>
      </c>
    </row>
    <row r="149" spans="1:5" ht="24.75">
      <c r="A149" s="11" t="s">
        <v>237</v>
      </c>
      <c r="B149" s="11" t="s">
        <v>133</v>
      </c>
      <c r="C149" s="11" t="s">
        <v>194</v>
      </c>
      <c r="D149" s="11" t="s">
        <v>921</v>
      </c>
      <c r="E149" s="11">
        <v>1</v>
      </c>
    </row>
    <row r="150" spans="1:5" ht="24.75">
      <c r="A150" s="11" t="s">
        <v>237</v>
      </c>
      <c r="B150" s="11" t="s">
        <v>133</v>
      </c>
      <c r="C150" s="11" t="s">
        <v>194</v>
      </c>
      <c r="D150" s="11" t="s">
        <v>922</v>
      </c>
      <c r="E150" s="11">
        <v>1</v>
      </c>
    </row>
    <row r="151" spans="1:5" ht="24.75">
      <c r="A151" s="11" t="s">
        <v>237</v>
      </c>
      <c r="B151" s="11" t="s">
        <v>133</v>
      </c>
      <c r="C151" s="11" t="s">
        <v>194</v>
      </c>
      <c r="D151" s="11" t="s">
        <v>923</v>
      </c>
      <c r="E151" s="11">
        <v>1</v>
      </c>
    </row>
    <row r="152" spans="1:5" ht="24.75">
      <c r="A152" s="11" t="s">
        <v>237</v>
      </c>
      <c r="B152" s="11" t="s">
        <v>133</v>
      </c>
      <c r="C152" s="11" t="s">
        <v>194</v>
      </c>
      <c r="D152" s="11" t="s">
        <v>924</v>
      </c>
      <c r="E152" s="11">
        <v>1</v>
      </c>
    </row>
    <row r="153" spans="1:5" ht="24.75">
      <c r="A153" s="11" t="s">
        <v>237</v>
      </c>
      <c r="B153" s="11" t="s">
        <v>133</v>
      </c>
      <c r="C153" s="11" t="s">
        <v>194</v>
      </c>
      <c r="D153" s="11" t="s">
        <v>925</v>
      </c>
      <c r="E153" s="11">
        <v>1</v>
      </c>
    </row>
    <row r="154" spans="1:5" ht="24.75">
      <c r="A154" s="11" t="s">
        <v>237</v>
      </c>
      <c r="B154" s="11" t="s">
        <v>133</v>
      </c>
      <c r="C154" s="11" t="s">
        <v>194</v>
      </c>
      <c r="D154" s="11" t="s">
        <v>926</v>
      </c>
      <c r="E154" s="11">
        <v>1</v>
      </c>
    </row>
    <row r="155" spans="1:5" ht="24.75">
      <c r="A155" s="11" t="s">
        <v>237</v>
      </c>
      <c r="B155" s="11" t="s">
        <v>133</v>
      </c>
      <c r="C155" s="11" t="s">
        <v>194</v>
      </c>
      <c r="D155" s="11" t="s">
        <v>927</v>
      </c>
      <c r="E155" s="11">
        <v>1</v>
      </c>
    </row>
    <row r="156" spans="1:5">
      <c r="A156" s="1" t="s">
        <v>126</v>
      </c>
      <c r="B156" s="1" t="s">
        <v>126</v>
      </c>
      <c r="C156" s="1">
        <f>SUBTOTAL(103,Elements138134[Elemento])</f>
        <v>70</v>
      </c>
      <c r="D156" s="1" t="s">
        <v>126</v>
      </c>
      <c r="E156" s="1">
        <f>SUBTOTAL(109,Elements138134[Totais:])</f>
        <v>70</v>
      </c>
    </row>
  </sheetData>
  <mergeCells count="12">
    <mergeCell ref="A83:E83"/>
    <mergeCell ref="A84:E84"/>
    <mergeCell ref="A27:E27"/>
    <mergeCell ref="A45:E46"/>
    <mergeCell ref="A48:E48"/>
    <mergeCell ref="A49:E49"/>
    <mergeCell ref="A80:E81"/>
    <mergeCell ref="A1:E2"/>
    <mergeCell ref="A4:E4"/>
    <mergeCell ref="A5:E5"/>
    <mergeCell ref="A23:E24"/>
    <mergeCell ref="A26:E26"/>
  </mergeCells>
  <hyperlinks>
    <hyperlink ref="A1" location="'13.8.13'!A1" display="CAIXA DE EMBUTIR,EM PVC,2”X4”,INCLUSIVE BUCHAS E ARRUELAS.FO RNECIMENTO E COLOCACAO" xr:uid="{00000000-0004-0000-2900-000000000000}"/>
    <hyperlink ref="B1" location="'13.8.13'!A1" display="CAIXA DE EMBUTIR,EM PVC,2”X4”,INCLUSIVE BUCHAS E ARRUELAS.FO RNECIMENTO E COLOCACAO" xr:uid="{00000000-0004-0000-2900-000001000000}"/>
    <hyperlink ref="C1" location="'13.8.13'!A1" display="CAIXA DE EMBUTIR,EM PVC,2”X4”,INCLUSIVE BUCHAS E ARRUELAS.FO RNECIMENTO E COLOCACAO" xr:uid="{00000000-0004-0000-2900-000002000000}"/>
    <hyperlink ref="D1" location="'13.8.13'!A1" display="CAIXA DE EMBUTIR,EM PVC,2”X4”,INCLUSIVE BUCHAS E ARRUELAS.FO RNECIMENTO E COLOCACAO" xr:uid="{00000000-0004-0000-2900-000003000000}"/>
    <hyperlink ref="E1" location="'13.8.13'!A1" display="CAIXA DE EMBUTIR,EM PVC,2”X4”,INCLUSIVE BUCHAS E ARRUELAS.FO RNECIMENTO E COLOCACAO" xr:uid="{00000000-0004-0000-2900-000004000000}"/>
    <hyperlink ref="A2" location="'13.8.13'!A1" display="CAIXA DE EMBUTIR,EM PVC,2”X4”,INCLUSIVE BUCHAS E ARRUELAS.FO RNECIMENTO E COLOCACAO" xr:uid="{00000000-0004-0000-2900-000005000000}"/>
    <hyperlink ref="B2" location="'13.8.13'!A1" display="CAIXA DE EMBUTIR,EM PVC,2”X4”,INCLUSIVE BUCHAS E ARRUELAS.FO RNECIMENTO E COLOCACAO" xr:uid="{00000000-0004-0000-2900-000006000000}"/>
    <hyperlink ref="C2" location="'13.8.13'!A1" display="CAIXA DE EMBUTIR,EM PVC,2”X4”,INCLUSIVE BUCHAS E ARRUELAS.FO RNECIMENTO E COLOCACAO" xr:uid="{00000000-0004-0000-2900-000007000000}"/>
    <hyperlink ref="D2" location="'13.8.13'!A1" display="CAIXA DE EMBUTIR,EM PVC,2”X4”,INCLUSIVE BUCHAS E ARRUELAS.FO RNECIMENTO E COLOCACAO" xr:uid="{00000000-0004-0000-2900-000008000000}"/>
    <hyperlink ref="E2" location="'13.8.13'!A1" display="CAIXA DE EMBUTIR,EM PVC,2”X4”,INCLUSIVE BUCHAS E ARRUELAS.FO RNECIMENTO E COLOCACAO" xr:uid="{00000000-0004-0000-2900-000009000000}"/>
    <hyperlink ref="A4" location="'13.8.13'!A1" display="Dispositivos elétricos (ACESS POINT, FREQUENCIA 2,4GHZ)" xr:uid="{00000000-0004-0000-2900-00000A000000}"/>
    <hyperlink ref="B4" location="'13.8.13'!A1" display="Dispositivos elétricos (ACESS POINT, FREQUENCIA 2,4GHZ)" xr:uid="{00000000-0004-0000-2900-00000B000000}"/>
    <hyperlink ref="C4" location="'13.8.13'!A1" display="Dispositivos elétricos (ACESS POINT, FREQUENCIA 2,4GHZ)" xr:uid="{00000000-0004-0000-2900-00000C000000}"/>
    <hyperlink ref="D4" location="'13.8.13'!A1" display="Dispositivos elétricos (ACESS POINT, FREQUENCIA 2,4GHZ)" xr:uid="{00000000-0004-0000-2900-00000D000000}"/>
    <hyperlink ref="E4" location="'13.8.13'!A1" display="Dispositivos elétricos (ACESS POINT, FREQUENCIA 2,4GHZ)" xr:uid="{00000000-0004-0000-2900-00000E000000}"/>
    <hyperlink ref="A23" location="'13.8.13'!A1" display="CAIXA DE EMBUTIR,EM PVC,2”X4”,INCLUSIVE BUCHAS E ARRUELAS.FO RNECIMENTO E COLOCACAO" xr:uid="{00000000-0004-0000-2900-00000F000000}"/>
    <hyperlink ref="B23" location="'13.8.13'!A1" display="CAIXA DE EMBUTIR,EM PVC,2”X4”,INCLUSIVE BUCHAS E ARRUELAS.FO RNECIMENTO E COLOCACAO" xr:uid="{00000000-0004-0000-2900-000010000000}"/>
    <hyperlink ref="C23" location="'13.8.13'!A1" display="CAIXA DE EMBUTIR,EM PVC,2”X4”,INCLUSIVE BUCHAS E ARRUELAS.FO RNECIMENTO E COLOCACAO" xr:uid="{00000000-0004-0000-2900-000011000000}"/>
    <hyperlink ref="D23" location="'13.8.13'!A1" display="CAIXA DE EMBUTIR,EM PVC,2”X4”,INCLUSIVE BUCHAS E ARRUELAS.FO RNECIMENTO E COLOCACAO" xr:uid="{00000000-0004-0000-2900-000012000000}"/>
    <hyperlink ref="E23" location="'13.8.13'!A1" display="CAIXA DE EMBUTIR,EM PVC,2”X4”,INCLUSIVE BUCHAS E ARRUELAS.FO RNECIMENTO E COLOCACAO" xr:uid="{00000000-0004-0000-2900-000013000000}"/>
    <hyperlink ref="A24" location="'13.8.13'!A1" display="CAIXA DE EMBUTIR,EM PVC,2”X4”,INCLUSIVE BUCHAS E ARRUELAS.FO RNECIMENTO E COLOCACAO" xr:uid="{00000000-0004-0000-2900-000014000000}"/>
    <hyperlink ref="B24" location="'13.8.13'!A1" display="CAIXA DE EMBUTIR,EM PVC,2”X4”,INCLUSIVE BUCHAS E ARRUELAS.FO RNECIMENTO E COLOCACAO" xr:uid="{00000000-0004-0000-2900-000015000000}"/>
    <hyperlink ref="C24" location="'13.8.13'!A1" display="CAIXA DE EMBUTIR,EM PVC,2”X4”,INCLUSIVE BUCHAS E ARRUELAS.FO RNECIMENTO E COLOCACAO" xr:uid="{00000000-0004-0000-2900-000016000000}"/>
    <hyperlink ref="D24" location="'13.8.13'!A1" display="CAIXA DE EMBUTIR,EM PVC,2”X4”,INCLUSIVE BUCHAS E ARRUELAS.FO RNECIMENTO E COLOCACAO" xr:uid="{00000000-0004-0000-2900-000017000000}"/>
    <hyperlink ref="E24" location="'13.8.13'!A1" display="CAIXA DE EMBUTIR,EM PVC,2”X4”,INCLUSIVE BUCHAS E ARRUELAS.FO RNECIMENTO E COLOCACAO" xr:uid="{00000000-0004-0000-2900-000018000000}"/>
    <hyperlink ref="A26" location="'13.8.13'!A1" display="Conexões do conduite (240,0mm²_Fase B)" xr:uid="{00000000-0004-0000-2900-000019000000}"/>
    <hyperlink ref="B26" location="'13.8.13'!A1" display="Conexões do conduite (240,0mm²_Fase B)" xr:uid="{00000000-0004-0000-2900-00001A000000}"/>
    <hyperlink ref="C26" location="'13.8.13'!A1" display="Conexões do conduite (240,0mm²_Fase B)" xr:uid="{00000000-0004-0000-2900-00001B000000}"/>
    <hyperlink ref="D26" location="'13.8.13'!A1" display="Conexões do conduite (240,0mm²_Fase B)" xr:uid="{00000000-0004-0000-2900-00001C000000}"/>
    <hyperlink ref="E26" location="'13.8.13'!A1" display="Conexões do conduite (240,0mm²_Fase B)" xr:uid="{00000000-0004-0000-2900-00001D000000}"/>
    <hyperlink ref="A45" location="'13.8.13'!A1" display="CAIXA DE EMBUTIR,EM PVC,2”X4”,INCLUSIVE BUCHAS E ARRUELAS.FO RNECIMENTO E COLOCACAO" xr:uid="{00000000-0004-0000-2900-00001E000000}"/>
    <hyperlink ref="B45" location="'13.8.13'!A1" display="CAIXA DE EMBUTIR,EM PVC,2”X4”,INCLUSIVE BUCHAS E ARRUELAS.FO RNECIMENTO E COLOCACAO" xr:uid="{00000000-0004-0000-2900-00001F000000}"/>
    <hyperlink ref="C45" location="'13.8.13'!A1" display="CAIXA DE EMBUTIR,EM PVC,2”X4”,INCLUSIVE BUCHAS E ARRUELAS.FO RNECIMENTO E COLOCACAO" xr:uid="{00000000-0004-0000-2900-000020000000}"/>
    <hyperlink ref="D45" location="'13.8.13'!A1" display="CAIXA DE EMBUTIR,EM PVC,2”X4”,INCLUSIVE BUCHAS E ARRUELAS.FO RNECIMENTO E COLOCACAO" xr:uid="{00000000-0004-0000-2900-000021000000}"/>
    <hyperlink ref="E45" location="'13.8.13'!A1" display="CAIXA DE EMBUTIR,EM PVC,2”X4”,INCLUSIVE BUCHAS E ARRUELAS.FO RNECIMENTO E COLOCACAO" xr:uid="{00000000-0004-0000-2900-000022000000}"/>
    <hyperlink ref="A46" location="'13.8.13'!A1" display="CAIXA DE EMBUTIR,EM PVC,2”X4”,INCLUSIVE BUCHAS E ARRUELAS.FO RNECIMENTO E COLOCACAO" xr:uid="{00000000-0004-0000-2900-000023000000}"/>
    <hyperlink ref="B46" location="'13.8.13'!A1" display="CAIXA DE EMBUTIR,EM PVC,2”X4”,INCLUSIVE BUCHAS E ARRUELAS.FO RNECIMENTO E COLOCACAO" xr:uid="{00000000-0004-0000-2900-000024000000}"/>
    <hyperlink ref="C46" location="'13.8.13'!A1" display="CAIXA DE EMBUTIR,EM PVC,2”X4”,INCLUSIVE BUCHAS E ARRUELAS.FO RNECIMENTO E COLOCACAO" xr:uid="{00000000-0004-0000-2900-000025000000}"/>
    <hyperlink ref="D46" location="'13.8.13'!A1" display="CAIXA DE EMBUTIR,EM PVC,2”X4”,INCLUSIVE BUCHAS E ARRUELAS.FO RNECIMENTO E COLOCACAO" xr:uid="{00000000-0004-0000-2900-000026000000}"/>
    <hyperlink ref="E46" location="'13.8.13'!A1" display="CAIXA DE EMBUTIR,EM PVC,2”X4”,INCLUSIVE BUCHAS E ARRUELAS.FO RNECIMENTO E COLOCACAO" xr:uid="{00000000-0004-0000-2900-000027000000}"/>
    <hyperlink ref="A48" location="'13.8.13'!A1" display="Dispositivos elétricos (ACESS POINT, FREQUENCIA 2,4GHZ)" xr:uid="{00000000-0004-0000-2900-000028000000}"/>
    <hyperlink ref="B48" location="'13.8.13'!A1" display="Dispositivos elétricos (ACESS POINT, FREQUENCIA 2,4GHZ)" xr:uid="{00000000-0004-0000-2900-000029000000}"/>
    <hyperlink ref="C48" location="'13.8.13'!A1" display="Dispositivos elétricos (ACESS POINT, FREQUENCIA 2,4GHZ)" xr:uid="{00000000-0004-0000-2900-00002A000000}"/>
    <hyperlink ref="D48" location="'13.8.13'!A1" display="Dispositivos elétricos (ACESS POINT, FREQUENCIA 2,4GHZ)" xr:uid="{00000000-0004-0000-2900-00002B000000}"/>
    <hyperlink ref="E48" location="'13.8.13'!A1" display="Dispositivos elétricos (ACESS POINT, FREQUENCIA 2,4GHZ)" xr:uid="{00000000-0004-0000-2900-00002C000000}"/>
    <hyperlink ref="A80" location="'13.8.13'!A1" display="CAIXA DE EMBUTIR,EM PVC,2”X4”,INCLUSIVE BUCHAS E ARRUELAS.FO RNECIMENTO E COLOCACAO" xr:uid="{00000000-0004-0000-2900-00002D000000}"/>
    <hyperlink ref="B80" location="'13.8.13'!A1" display="CAIXA DE EMBUTIR,EM PVC,2”X4”,INCLUSIVE BUCHAS E ARRUELAS.FO RNECIMENTO E COLOCACAO" xr:uid="{00000000-0004-0000-2900-00002E000000}"/>
    <hyperlink ref="C80" location="'13.8.13'!A1" display="CAIXA DE EMBUTIR,EM PVC,2”X4”,INCLUSIVE BUCHAS E ARRUELAS.FO RNECIMENTO E COLOCACAO" xr:uid="{00000000-0004-0000-2900-00002F000000}"/>
    <hyperlink ref="D80" location="'13.8.13'!A1" display="CAIXA DE EMBUTIR,EM PVC,2”X4”,INCLUSIVE BUCHAS E ARRUELAS.FO RNECIMENTO E COLOCACAO" xr:uid="{00000000-0004-0000-2900-000030000000}"/>
    <hyperlink ref="E80" location="'13.8.13'!A1" display="CAIXA DE EMBUTIR,EM PVC,2”X4”,INCLUSIVE BUCHAS E ARRUELAS.FO RNECIMENTO E COLOCACAO" xr:uid="{00000000-0004-0000-2900-000031000000}"/>
    <hyperlink ref="A81" location="'13.8.13'!A1" display="CAIXA DE EMBUTIR,EM PVC,2”X4”,INCLUSIVE BUCHAS E ARRUELAS.FO RNECIMENTO E COLOCACAO" xr:uid="{00000000-0004-0000-2900-000032000000}"/>
    <hyperlink ref="B81" location="'13.8.13'!A1" display="CAIXA DE EMBUTIR,EM PVC,2”X4”,INCLUSIVE BUCHAS E ARRUELAS.FO RNECIMENTO E COLOCACAO" xr:uid="{00000000-0004-0000-2900-000033000000}"/>
    <hyperlink ref="C81" location="'13.8.13'!A1" display="CAIXA DE EMBUTIR,EM PVC,2”X4”,INCLUSIVE BUCHAS E ARRUELAS.FO RNECIMENTO E COLOCACAO" xr:uid="{00000000-0004-0000-2900-000034000000}"/>
    <hyperlink ref="D81" location="'13.8.13'!A1" display="CAIXA DE EMBUTIR,EM PVC,2”X4”,INCLUSIVE BUCHAS E ARRUELAS.FO RNECIMENTO E COLOCACAO" xr:uid="{00000000-0004-0000-2900-000035000000}"/>
    <hyperlink ref="E81" location="'13.8.13'!A1" display="CAIXA DE EMBUTIR,EM PVC,2”X4”,INCLUSIVE BUCHAS E ARRUELAS.FO RNECIMENTO E COLOCACAO" xr:uid="{00000000-0004-0000-2900-000036000000}"/>
    <hyperlink ref="A83" location="'13.8.13'!A1" display="Dispositivos elétricos (ACESS POINT, FREQUENCIA 2,4GHZ)" xr:uid="{00000000-0004-0000-2900-000037000000}"/>
    <hyperlink ref="B83" location="'13.8.13'!A1" display="Dispositivos elétricos (ACESS POINT, FREQUENCIA 2,4GHZ)" xr:uid="{00000000-0004-0000-2900-000038000000}"/>
    <hyperlink ref="C83" location="'13.8.13'!A1" display="Dispositivos elétricos (ACESS POINT, FREQUENCIA 2,4GHZ)" xr:uid="{00000000-0004-0000-2900-000039000000}"/>
    <hyperlink ref="D83" location="'13.8.13'!A1" display="Dispositivos elétricos (ACESS POINT, FREQUENCIA 2,4GHZ)" xr:uid="{00000000-0004-0000-2900-00003A000000}"/>
    <hyperlink ref="E83" location="'13.8.13'!A1" display="Dispositivos elétricos (ACESS POINT, FREQUENCIA 2,4GHZ)" xr:uid="{00000000-0004-0000-2900-00003B000000}"/>
  </hyperlinks>
  <pageMargins left="0.511811024" right="0.511811024" top="0.78740157499999996" bottom="0.78740157499999996" header="0.31496062000000002" footer="0.31496062000000002"/>
  <tableParts count="4">
    <tablePart r:id="rId1"/>
    <tablePart r:id="rId2"/>
    <tablePart r:id="rId3"/>
    <tablePart r:id="rId4"/>
  </tableParts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dimension ref="A1:E353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70</v>
      </c>
      <c r="B1" s="23" t="s">
        <v>70</v>
      </c>
      <c r="C1" s="23" t="s">
        <v>70</v>
      </c>
      <c r="D1" s="23" t="s">
        <v>70</v>
      </c>
      <c r="E1" s="23" t="s">
        <v>70</v>
      </c>
    </row>
    <row r="2" spans="1:5">
      <c r="A2" s="23" t="s">
        <v>70</v>
      </c>
      <c r="B2" s="23" t="s">
        <v>70</v>
      </c>
      <c r="C2" s="23" t="s">
        <v>70</v>
      </c>
      <c r="D2" s="23" t="s">
        <v>70</v>
      </c>
      <c r="E2" s="23" t="s">
        <v>70</v>
      </c>
    </row>
    <row r="4" spans="1:5">
      <c r="A4" s="18" t="s">
        <v>195</v>
      </c>
      <c r="B4" s="18" t="s">
        <v>195</v>
      </c>
      <c r="C4" s="18" t="s">
        <v>195</v>
      </c>
      <c r="D4" s="18" t="s">
        <v>195</v>
      </c>
      <c r="E4" s="18" t="s">
        <v>195</v>
      </c>
    </row>
    <row r="5" spans="1:5">
      <c r="A5" s="24" t="s">
        <v>196</v>
      </c>
      <c r="B5" s="24" t="s">
        <v>196</v>
      </c>
      <c r="C5" s="24" t="s">
        <v>196</v>
      </c>
      <c r="D5" s="24" t="s">
        <v>196</v>
      </c>
      <c r="E5" s="24" t="s">
        <v>196</v>
      </c>
    </row>
    <row r="6" spans="1:5">
      <c r="A6" s="10" t="s">
        <v>232</v>
      </c>
      <c r="B6" s="10" t="s">
        <v>233</v>
      </c>
      <c r="C6" s="10" t="s">
        <v>234</v>
      </c>
      <c r="D6" s="10" t="s">
        <v>235</v>
      </c>
      <c r="E6" s="10" t="s">
        <v>236</v>
      </c>
    </row>
    <row r="7" spans="1:5" ht="24.75">
      <c r="A7" s="11" t="s">
        <v>237</v>
      </c>
      <c r="B7" s="11" t="s">
        <v>133</v>
      </c>
      <c r="C7" s="11" t="s">
        <v>138</v>
      </c>
      <c r="D7" s="11" t="s">
        <v>286</v>
      </c>
      <c r="E7" s="11">
        <v>31.080828648641763</v>
      </c>
    </row>
    <row r="8" spans="1:5" ht="24.75">
      <c r="A8" s="11" t="s">
        <v>237</v>
      </c>
      <c r="B8" s="11" t="s">
        <v>133</v>
      </c>
      <c r="C8" s="11" t="s">
        <v>138</v>
      </c>
      <c r="D8" s="11" t="s">
        <v>238</v>
      </c>
      <c r="E8" s="11">
        <v>14.000000021280302</v>
      </c>
    </row>
    <row r="9" spans="1:5" ht="24.75">
      <c r="A9" s="11" t="s">
        <v>237</v>
      </c>
      <c r="B9" s="11" t="s">
        <v>133</v>
      </c>
      <c r="C9" s="11" t="s">
        <v>138</v>
      </c>
      <c r="D9" s="11" t="s">
        <v>287</v>
      </c>
      <c r="E9" s="11">
        <v>43.177500065629808</v>
      </c>
    </row>
    <row r="10" spans="1:5" ht="24.75">
      <c r="A10" s="11" t="s">
        <v>237</v>
      </c>
      <c r="B10" s="11" t="s">
        <v>133</v>
      </c>
      <c r="C10" s="11" t="s">
        <v>138</v>
      </c>
      <c r="D10" s="11" t="s">
        <v>239</v>
      </c>
      <c r="E10" s="11">
        <v>4.8793566591111919</v>
      </c>
    </row>
    <row r="11" spans="1:5" ht="24.75">
      <c r="A11" s="11" t="s">
        <v>237</v>
      </c>
      <c r="B11" s="11" t="s">
        <v>133</v>
      </c>
      <c r="C11" s="11" t="s">
        <v>138</v>
      </c>
      <c r="D11" s="11" t="s">
        <v>291</v>
      </c>
      <c r="E11" s="11">
        <v>5.4875000082105112</v>
      </c>
    </row>
    <row r="12" spans="1:5" ht="24.75">
      <c r="A12" s="11" t="s">
        <v>237</v>
      </c>
      <c r="B12" s="11" t="s">
        <v>133</v>
      </c>
      <c r="C12" s="11" t="s">
        <v>138</v>
      </c>
      <c r="D12" s="11" t="s">
        <v>292</v>
      </c>
      <c r="E12" s="11">
        <v>16.789534633961996</v>
      </c>
    </row>
    <row r="13" spans="1:5" ht="24.75">
      <c r="A13" s="11" t="s">
        <v>237</v>
      </c>
      <c r="B13" s="11" t="s">
        <v>133</v>
      </c>
      <c r="C13" s="11" t="s">
        <v>138</v>
      </c>
      <c r="D13" s="11" t="s">
        <v>293</v>
      </c>
      <c r="E13" s="11">
        <v>13.225000019753001</v>
      </c>
    </row>
    <row r="14" spans="1:5" ht="24.75">
      <c r="A14" s="11" t="s">
        <v>237</v>
      </c>
      <c r="B14" s="11" t="s">
        <v>133</v>
      </c>
      <c r="C14" s="11" t="s">
        <v>138</v>
      </c>
      <c r="D14" s="11" t="s">
        <v>294</v>
      </c>
      <c r="E14" s="11">
        <v>12.491793615469328</v>
      </c>
    </row>
    <row r="15" spans="1:5" ht="24.75">
      <c r="A15" s="11" t="s">
        <v>237</v>
      </c>
      <c r="B15" s="11" t="s">
        <v>133</v>
      </c>
      <c r="C15" s="11" t="s">
        <v>138</v>
      </c>
      <c r="D15" s="11" t="s">
        <v>295</v>
      </c>
      <c r="E15" s="11">
        <v>22.620561922074454</v>
      </c>
    </row>
    <row r="16" spans="1:5" ht="24.75">
      <c r="A16" s="11" t="s">
        <v>237</v>
      </c>
      <c r="B16" s="11" t="s">
        <v>133</v>
      </c>
      <c r="C16" s="11" t="s">
        <v>138</v>
      </c>
      <c r="D16" s="11" t="s">
        <v>296</v>
      </c>
      <c r="E16" s="11">
        <v>17.222379892392119</v>
      </c>
    </row>
    <row r="17" spans="1:5" ht="24.75">
      <c r="A17" s="11" t="s">
        <v>237</v>
      </c>
      <c r="B17" s="11" t="s">
        <v>133</v>
      </c>
      <c r="C17" s="11" t="s">
        <v>138</v>
      </c>
      <c r="D17" s="11" t="s">
        <v>240</v>
      </c>
      <c r="E17" s="11">
        <v>2.9851217198991855</v>
      </c>
    </row>
    <row r="18" spans="1:5" ht="24.75">
      <c r="A18" s="11" t="s">
        <v>237</v>
      </c>
      <c r="B18" s="11" t="s">
        <v>133</v>
      </c>
      <c r="C18" s="11" t="s">
        <v>138</v>
      </c>
      <c r="D18" s="11" t="s">
        <v>241</v>
      </c>
      <c r="E18" s="11">
        <v>6.5620101722378763</v>
      </c>
    </row>
    <row r="19" spans="1:5" ht="24.75">
      <c r="A19" s="11" t="s">
        <v>237</v>
      </c>
      <c r="B19" s="11" t="s">
        <v>133</v>
      </c>
      <c r="C19" s="11" t="s">
        <v>138</v>
      </c>
      <c r="D19" s="11" t="s">
        <v>243</v>
      </c>
      <c r="E19" s="11">
        <v>3.2730533059075713</v>
      </c>
    </row>
    <row r="20" spans="1:5" ht="24.75">
      <c r="A20" s="11" t="s">
        <v>237</v>
      </c>
      <c r="B20" s="11" t="s">
        <v>133</v>
      </c>
      <c r="C20" s="11" t="s">
        <v>138</v>
      </c>
      <c r="D20" s="11" t="s">
        <v>244</v>
      </c>
      <c r="E20" s="11">
        <v>205.37500031217002</v>
      </c>
    </row>
    <row r="21" spans="1:5" ht="24.75">
      <c r="A21" s="11" t="s">
        <v>237</v>
      </c>
      <c r="B21" s="11" t="s">
        <v>133</v>
      </c>
      <c r="C21" s="11" t="s">
        <v>138</v>
      </c>
      <c r="D21" s="11" t="s">
        <v>245</v>
      </c>
      <c r="E21" s="11">
        <v>4.3113470070874174</v>
      </c>
    </row>
    <row r="22" spans="1:5" ht="24.75">
      <c r="A22" s="11" t="s">
        <v>237</v>
      </c>
      <c r="B22" s="11" t="s">
        <v>133</v>
      </c>
      <c r="C22" s="11" t="s">
        <v>138</v>
      </c>
      <c r="D22" s="11" t="s">
        <v>246</v>
      </c>
      <c r="E22" s="11">
        <v>34.602680971493278</v>
      </c>
    </row>
    <row r="23" spans="1:5" ht="24.75">
      <c r="A23" s="11" t="s">
        <v>237</v>
      </c>
      <c r="B23" s="11" t="s">
        <v>133</v>
      </c>
      <c r="C23" s="11" t="s">
        <v>138</v>
      </c>
      <c r="D23" s="11" t="s">
        <v>247</v>
      </c>
      <c r="E23" s="11">
        <v>21.113951403535207</v>
      </c>
    </row>
    <row r="24" spans="1:5" ht="24.75">
      <c r="A24" s="11" t="s">
        <v>237</v>
      </c>
      <c r="B24" s="11" t="s">
        <v>133</v>
      </c>
      <c r="C24" s="11" t="s">
        <v>138</v>
      </c>
      <c r="D24" s="11" t="s">
        <v>297</v>
      </c>
      <c r="E24" s="11">
        <v>6.2775000095415106</v>
      </c>
    </row>
    <row r="25" spans="1:5" ht="24.75">
      <c r="A25" s="11" t="s">
        <v>237</v>
      </c>
      <c r="B25" s="11" t="s">
        <v>133</v>
      </c>
      <c r="C25" s="11" t="s">
        <v>138</v>
      </c>
      <c r="D25" s="11" t="s">
        <v>298</v>
      </c>
      <c r="E25" s="11">
        <v>40.578698171483225</v>
      </c>
    </row>
    <row r="26" spans="1:5" ht="24.75">
      <c r="A26" s="11" t="s">
        <v>237</v>
      </c>
      <c r="B26" s="11" t="s">
        <v>133</v>
      </c>
      <c r="C26" s="11" t="s">
        <v>138</v>
      </c>
      <c r="D26" s="11" t="s">
        <v>299</v>
      </c>
      <c r="E26" s="11">
        <v>18.687500028404703</v>
      </c>
    </row>
    <row r="27" spans="1:5" ht="24.75">
      <c r="A27" s="11" t="s">
        <v>237</v>
      </c>
      <c r="B27" s="11" t="s">
        <v>133</v>
      </c>
      <c r="C27" s="11" t="s">
        <v>138</v>
      </c>
      <c r="D27" s="11" t="s">
        <v>300</v>
      </c>
      <c r="E27" s="11">
        <v>179.12844668826827</v>
      </c>
    </row>
    <row r="28" spans="1:5" ht="24.75">
      <c r="A28" s="11" t="s">
        <v>237</v>
      </c>
      <c r="B28" s="11" t="s">
        <v>133</v>
      </c>
      <c r="C28" s="11" t="s">
        <v>138</v>
      </c>
      <c r="D28" s="11" t="s">
        <v>301</v>
      </c>
      <c r="E28" s="11">
        <v>6.2775000095412414</v>
      </c>
    </row>
    <row r="29" spans="1:5" ht="24.75">
      <c r="A29" s="11" t="s">
        <v>237</v>
      </c>
      <c r="B29" s="11" t="s">
        <v>133</v>
      </c>
      <c r="C29" s="11" t="s">
        <v>138</v>
      </c>
      <c r="D29" s="11" t="s">
        <v>302</v>
      </c>
      <c r="E29" s="11">
        <v>67.477500102565813</v>
      </c>
    </row>
    <row r="30" spans="1:5" ht="24.75">
      <c r="A30" s="11" t="s">
        <v>237</v>
      </c>
      <c r="B30" s="11" t="s">
        <v>133</v>
      </c>
      <c r="C30" s="11" t="s">
        <v>138</v>
      </c>
      <c r="D30" s="11" t="s">
        <v>303</v>
      </c>
      <c r="E30" s="11">
        <v>67.477500102565813</v>
      </c>
    </row>
    <row r="31" spans="1:5" ht="24.75">
      <c r="A31" s="11" t="s">
        <v>237</v>
      </c>
      <c r="B31" s="11" t="s">
        <v>133</v>
      </c>
      <c r="C31" s="11" t="s">
        <v>138</v>
      </c>
      <c r="D31" s="11" t="s">
        <v>304</v>
      </c>
      <c r="E31" s="11">
        <v>66.72102114038546</v>
      </c>
    </row>
    <row r="32" spans="1:5" ht="24.75">
      <c r="A32" s="11" t="s">
        <v>237</v>
      </c>
      <c r="B32" s="11" t="s">
        <v>133</v>
      </c>
      <c r="C32" s="11" t="s">
        <v>138</v>
      </c>
      <c r="D32" s="11" t="s">
        <v>305</v>
      </c>
      <c r="E32" s="11">
        <v>56.655000086115805</v>
      </c>
    </row>
    <row r="33" spans="1:5" ht="24.75">
      <c r="A33" s="11" t="s">
        <v>237</v>
      </c>
      <c r="B33" s="11" t="s">
        <v>133</v>
      </c>
      <c r="C33" s="11" t="s">
        <v>138</v>
      </c>
      <c r="D33" s="11" t="s">
        <v>306</v>
      </c>
      <c r="E33" s="11">
        <v>19.032652307022335</v>
      </c>
    </row>
    <row r="34" spans="1:5" ht="24.75">
      <c r="A34" s="11" t="s">
        <v>237</v>
      </c>
      <c r="B34" s="11" t="s">
        <v>133</v>
      </c>
      <c r="C34" s="11" t="s">
        <v>138</v>
      </c>
      <c r="D34" s="11" t="s">
        <v>307</v>
      </c>
      <c r="E34" s="11">
        <v>77.967500118510316</v>
      </c>
    </row>
    <row r="35" spans="1:5" ht="24.75">
      <c r="A35" s="11" t="s">
        <v>237</v>
      </c>
      <c r="B35" s="11" t="s">
        <v>133</v>
      </c>
      <c r="C35" s="11" t="s">
        <v>138</v>
      </c>
      <c r="D35" s="11" t="s">
        <v>248</v>
      </c>
      <c r="E35" s="11">
        <v>444.17957481181099</v>
      </c>
    </row>
    <row r="36" spans="1:5" ht="24.75">
      <c r="A36" s="11" t="s">
        <v>237</v>
      </c>
      <c r="B36" s="11" t="s">
        <v>133</v>
      </c>
      <c r="C36" s="11" t="s">
        <v>138</v>
      </c>
      <c r="D36" s="11" t="s">
        <v>249</v>
      </c>
      <c r="E36" s="11">
        <v>36.400000056071704</v>
      </c>
    </row>
    <row r="37" spans="1:5" ht="24.75">
      <c r="A37" s="11" t="s">
        <v>237</v>
      </c>
      <c r="B37" s="11" t="s">
        <v>133</v>
      </c>
      <c r="C37" s="11" t="s">
        <v>138</v>
      </c>
      <c r="D37" s="11" t="s">
        <v>250</v>
      </c>
      <c r="E37" s="11">
        <v>48.963839430533639</v>
      </c>
    </row>
    <row r="38" spans="1:5" ht="24.75">
      <c r="A38" s="11" t="s">
        <v>237</v>
      </c>
      <c r="B38" s="11" t="s">
        <v>133</v>
      </c>
      <c r="C38" s="11" t="s">
        <v>138</v>
      </c>
      <c r="D38" s="11" t="s">
        <v>251</v>
      </c>
      <c r="E38" s="11">
        <v>21.872506243753211</v>
      </c>
    </row>
    <row r="39" spans="1:5" ht="24.75">
      <c r="A39" s="11" t="s">
        <v>237</v>
      </c>
      <c r="B39" s="11" t="s">
        <v>133</v>
      </c>
      <c r="C39" s="11" t="s">
        <v>138</v>
      </c>
      <c r="D39" s="11" t="s">
        <v>252</v>
      </c>
      <c r="E39" s="11">
        <v>241.76046060151393</v>
      </c>
    </row>
    <row r="40" spans="1:5" ht="24.75">
      <c r="A40" s="11" t="s">
        <v>237</v>
      </c>
      <c r="B40" s="11" t="s">
        <v>133</v>
      </c>
      <c r="C40" s="11" t="s">
        <v>138</v>
      </c>
      <c r="D40" s="11" t="s">
        <v>308</v>
      </c>
      <c r="E40" s="11">
        <v>136.36202427164429</v>
      </c>
    </row>
    <row r="41" spans="1:5" ht="24.75">
      <c r="A41" s="11" t="s">
        <v>237</v>
      </c>
      <c r="B41" s="11" t="s">
        <v>133</v>
      </c>
      <c r="C41" s="11" t="s">
        <v>138</v>
      </c>
      <c r="D41" s="11" t="s">
        <v>309</v>
      </c>
      <c r="E41" s="11">
        <v>7.6533686866568713</v>
      </c>
    </row>
    <row r="42" spans="1:5" ht="24.75">
      <c r="A42" s="11" t="s">
        <v>237</v>
      </c>
      <c r="B42" s="11" t="s">
        <v>133</v>
      </c>
      <c r="C42" s="11" t="s">
        <v>138</v>
      </c>
      <c r="D42" s="11" t="s">
        <v>255</v>
      </c>
      <c r="E42" s="11">
        <v>6.099883706108213</v>
      </c>
    </row>
    <row r="43" spans="1:5" ht="24.75">
      <c r="A43" s="11" t="s">
        <v>237</v>
      </c>
      <c r="B43" s="11" t="s">
        <v>133</v>
      </c>
      <c r="C43" s="11" t="s">
        <v>138</v>
      </c>
      <c r="D43" s="11" t="s">
        <v>256</v>
      </c>
      <c r="E43" s="11">
        <v>45.182211431928664</v>
      </c>
    </row>
    <row r="44" spans="1:5" ht="24.75">
      <c r="A44" s="11" t="s">
        <v>237</v>
      </c>
      <c r="B44" s="11" t="s">
        <v>133</v>
      </c>
      <c r="C44" s="11" t="s">
        <v>138</v>
      </c>
      <c r="D44" s="11" t="s">
        <v>257</v>
      </c>
      <c r="E44" s="11">
        <v>4.9163020125178001</v>
      </c>
    </row>
    <row r="45" spans="1:5" ht="24.75">
      <c r="A45" s="11" t="s">
        <v>237</v>
      </c>
      <c r="B45" s="11" t="s">
        <v>133</v>
      </c>
      <c r="C45" s="11" t="s">
        <v>138</v>
      </c>
      <c r="D45" s="11" t="s">
        <v>258</v>
      </c>
      <c r="E45" s="11">
        <v>18.535658719769604</v>
      </c>
    </row>
    <row r="46" spans="1:5" ht="24.75">
      <c r="A46" s="11" t="s">
        <v>237</v>
      </c>
      <c r="B46" s="11" t="s">
        <v>133</v>
      </c>
      <c r="C46" s="11" t="s">
        <v>138</v>
      </c>
      <c r="D46" s="11" t="s">
        <v>259</v>
      </c>
      <c r="E46" s="11">
        <v>36.723750055820105</v>
      </c>
    </row>
    <row r="47" spans="1:5" ht="24.75">
      <c r="A47" s="11" t="s">
        <v>237</v>
      </c>
      <c r="B47" s="11" t="s">
        <v>133</v>
      </c>
      <c r="C47" s="11" t="s">
        <v>138</v>
      </c>
      <c r="D47" s="11" t="s">
        <v>260</v>
      </c>
      <c r="E47" s="11">
        <v>55.913266605040576</v>
      </c>
    </row>
    <row r="48" spans="1:5" ht="24.75">
      <c r="A48" s="11" t="s">
        <v>237</v>
      </c>
      <c r="B48" s="11" t="s">
        <v>133</v>
      </c>
      <c r="C48" s="11" t="s">
        <v>138</v>
      </c>
      <c r="D48" s="11" t="s">
        <v>261</v>
      </c>
      <c r="E48" s="11">
        <v>4.2414043590101844</v>
      </c>
    </row>
    <row r="49" spans="1:5" ht="24.75">
      <c r="A49" s="11" t="s">
        <v>237</v>
      </c>
      <c r="B49" s="11" t="s">
        <v>133</v>
      </c>
      <c r="C49" s="11" t="s">
        <v>138</v>
      </c>
      <c r="D49" s="11" t="s">
        <v>262</v>
      </c>
      <c r="E49" s="11">
        <v>6.4714930490670506</v>
      </c>
    </row>
    <row r="50" spans="1:5" ht="24.75">
      <c r="A50" s="11" t="s">
        <v>237</v>
      </c>
      <c r="B50" s="11" t="s">
        <v>133</v>
      </c>
      <c r="C50" s="11" t="s">
        <v>138</v>
      </c>
      <c r="D50" s="11" t="s">
        <v>263</v>
      </c>
      <c r="E50" s="11">
        <v>19.272849819994537</v>
      </c>
    </row>
    <row r="51" spans="1:5" ht="24.75">
      <c r="A51" s="11" t="s">
        <v>237</v>
      </c>
      <c r="B51" s="11" t="s">
        <v>133</v>
      </c>
      <c r="C51" s="11" t="s">
        <v>138</v>
      </c>
      <c r="D51" s="11" t="s">
        <v>264</v>
      </c>
      <c r="E51" s="11">
        <v>5.1909104056366848</v>
      </c>
    </row>
    <row r="52" spans="1:5" ht="24.75">
      <c r="A52" s="11" t="s">
        <v>237</v>
      </c>
      <c r="B52" s="11" t="s">
        <v>133</v>
      </c>
      <c r="C52" s="11" t="s">
        <v>138</v>
      </c>
      <c r="D52" s="11" t="s">
        <v>310</v>
      </c>
      <c r="E52" s="11">
        <v>4.2375000063320396</v>
      </c>
    </row>
    <row r="53" spans="1:5" ht="24.75">
      <c r="A53" s="11" t="s">
        <v>237</v>
      </c>
      <c r="B53" s="11" t="s">
        <v>133</v>
      </c>
      <c r="C53" s="11" t="s">
        <v>138</v>
      </c>
      <c r="D53" s="11" t="s">
        <v>265</v>
      </c>
      <c r="E53" s="11">
        <v>16.211268794343731</v>
      </c>
    </row>
    <row r="54" spans="1:5" ht="24.75">
      <c r="A54" s="11" t="s">
        <v>237</v>
      </c>
      <c r="B54" s="11" t="s">
        <v>133</v>
      </c>
      <c r="C54" s="11" t="s">
        <v>138</v>
      </c>
      <c r="D54" s="11" t="s">
        <v>266</v>
      </c>
      <c r="E54" s="11">
        <v>11.221237335460682</v>
      </c>
    </row>
    <row r="55" spans="1:5" ht="24.75">
      <c r="A55" s="11" t="s">
        <v>237</v>
      </c>
      <c r="B55" s="11" t="s">
        <v>133</v>
      </c>
      <c r="C55" s="11" t="s">
        <v>138</v>
      </c>
      <c r="D55" s="11" t="s">
        <v>267</v>
      </c>
      <c r="E55" s="11">
        <v>44.743664238339271</v>
      </c>
    </row>
    <row r="56" spans="1:5" ht="24.75">
      <c r="A56" s="11" t="s">
        <v>237</v>
      </c>
      <c r="B56" s="11" t="s">
        <v>133</v>
      </c>
      <c r="C56" s="11" t="s">
        <v>138</v>
      </c>
      <c r="D56" s="11" t="s">
        <v>268</v>
      </c>
      <c r="E56" s="11">
        <v>72.061460722966629</v>
      </c>
    </row>
    <row r="57" spans="1:5" ht="24.75">
      <c r="A57" s="11" t="s">
        <v>237</v>
      </c>
      <c r="B57" s="11" t="s">
        <v>133</v>
      </c>
      <c r="C57" s="11" t="s">
        <v>138</v>
      </c>
      <c r="D57" s="11" t="s">
        <v>269</v>
      </c>
      <c r="E57" s="11">
        <v>62.733931901530781</v>
      </c>
    </row>
    <row r="58" spans="1:5" ht="24.75">
      <c r="A58" s="11" t="s">
        <v>237</v>
      </c>
      <c r="B58" s="11" t="s">
        <v>133</v>
      </c>
      <c r="C58" s="11" t="s">
        <v>138</v>
      </c>
      <c r="D58" s="11" t="s">
        <v>270</v>
      </c>
      <c r="E58" s="11">
        <v>18.360000027907102</v>
      </c>
    </row>
    <row r="59" spans="1:5" ht="24.75">
      <c r="A59" s="11" t="s">
        <v>237</v>
      </c>
      <c r="B59" s="11" t="s">
        <v>133</v>
      </c>
      <c r="C59" s="11" t="s">
        <v>138</v>
      </c>
      <c r="D59" s="11" t="s">
        <v>271</v>
      </c>
      <c r="E59" s="11">
        <v>122.09196341981581</v>
      </c>
    </row>
    <row r="60" spans="1:5" ht="24.75">
      <c r="A60" s="11" t="s">
        <v>237</v>
      </c>
      <c r="B60" s="11" t="s">
        <v>133</v>
      </c>
      <c r="C60" s="11" t="s">
        <v>138</v>
      </c>
      <c r="D60" s="11" t="s">
        <v>272</v>
      </c>
      <c r="E60" s="11">
        <v>114.60190394210791</v>
      </c>
    </row>
    <row r="61" spans="1:5" ht="24.75">
      <c r="A61" s="11" t="s">
        <v>237</v>
      </c>
      <c r="B61" s="11" t="s">
        <v>133</v>
      </c>
      <c r="C61" s="11" t="s">
        <v>138</v>
      </c>
      <c r="D61" s="11" t="s">
        <v>273</v>
      </c>
      <c r="E61" s="11">
        <v>5.3862500081872211</v>
      </c>
    </row>
    <row r="62" spans="1:5" ht="24.75">
      <c r="A62" s="11" t="s">
        <v>237</v>
      </c>
      <c r="B62" s="11" t="s">
        <v>133</v>
      </c>
      <c r="C62" s="11" t="s">
        <v>138</v>
      </c>
      <c r="D62" s="11" t="s">
        <v>274</v>
      </c>
      <c r="E62" s="11">
        <v>52.096794771276038</v>
      </c>
    </row>
    <row r="63" spans="1:5" ht="24.75">
      <c r="A63" s="11" t="s">
        <v>237</v>
      </c>
      <c r="B63" s="11" t="s">
        <v>133</v>
      </c>
      <c r="C63" s="11" t="s">
        <v>138</v>
      </c>
      <c r="D63" s="11" t="s">
        <v>275</v>
      </c>
      <c r="E63" s="11">
        <v>57.172500086902204</v>
      </c>
    </row>
    <row r="64" spans="1:5" ht="24.75">
      <c r="A64" s="11" t="s">
        <v>237</v>
      </c>
      <c r="B64" s="11" t="s">
        <v>133</v>
      </c>
      <c r="C64" s="11" t="s">
        <v>138</v>
      </c>
      <c r="D64" s="11" t="s">
        <v>276</v>
      </c>
      <c r="E64" s="11">
        <v>82.060209010949421</v>
      </c>
    </row>
    <row r="65" spans="1:5" ht="24.75">
      <c r="A65" s="11" t="s">
        <v>237</v>
      </c>
      <c r="B65" s="11" t="s">
        <v>133</v>
      </c>
      <c r="C65" s="11" t="s">
        <v>138</v>
      </c>
      <c r="D65" s="11" t="s">
        <v>277</v>
      </c>
      <c r="E65" s="11">
        <v>47.328725961320664</v>
      </c>
    </row>
    <row r="66" spans="1:5" ht="24.75">
      <c r="A66" s="11" t="s">
        <v>237</v>
      </c>
      <c r="B66" s="11" t="s">
        <v>133</v>
      </c>
      <c r="C66" s="11" t="s">
        <v>138</v>
      </c>
      <c r="D66" s="11" t="s">
        <v>278</v>
      </c>
      <c r="E66" s="11">
        <v>25.983750039495302</v>
      </c>
    </row>
    <row r="67" spans="1:5" ht="24.75">
      <c r="A67" s="11" t="s">
        <v>237</v>
      </c>
      <c r="B67" s="11" t="s">
        <v>133</v>
      </c>
      <c r="C67" s="11" t="s">
        <v>138</v>
      </c>
      <c r="D67" s="11" t="s">
        <v>279</v>
      </c>
      <c r="E67" s="11">
        <v>48.733750074075509</v>
      </c>
    </row>
    <row r="68" spans="1:5" ht="24.75">
      <c r="A68" s="11" t="s">
        <v>237</v>
      </c>
      <c r="B68" s="11" t="s">
        <v>133</v>
      </c>
      <c r="C68" s="11" t="s">
        <v>138</v>
      </c>
      <c r="D68" s="11" t="s">
        <v>280</v>
      </c>
      <c r="E68" s="11">
        <v>47.424812572083418</v>
      </c>
    </row>
    <row r="69" spans="1:5" ht="24.75">
      <c r="A69" s="11" t="s">
        <v>237</v>
      </c>
      <c r="B69" s="11" t="s">
        <v>133</v>
      </c>
      <c r="C69" s="11" t="s">
        <v>138</v>
      </c>
      <c r="D69" s="11" t="s">
        <v>281</v>
      </c>
      <c r="E69" s="11">
        <v>42.764250065003267</v>
      </c>
    </row>
    <row r="70" spans="1:5" ht="24.75">
      <c r="A70" s="11" t="s">
        <v>237</v>
      </c>
      <c r="B70" s="11" t="s">
        <v>133</v>
      </c>
      <c r="C70" s="11" t="s">
        <v>138</v>
      </c>
      <c r="D70" s="11" t="s">
        <v>311</v>
      </c>
      <c r="E70" s="11">
        <v>63.506486379883064</v>
      </c>
    </row>
    <row r="71" spans="1:5" ht="24.75">
      <c r="A71" s="11" t="s">
        <v>237</v>
      </c>
      <c r="B71" s="11" t="s">
        <v>133</v>
      </c>
      <c r="C71" s="11" t="s">
        <v>138</v>
      </c>
      <c r="D71" s="11" t="s">
        <v>312</v>
      </c>
      <c r="E71" s="11">
        <v>60.089947267564121</v>
      </c>
    </row>
    <row r="72" spans="1:5" ht="24.75">
      <c r="A72" s="11" t="s">
        <v>237</v>
      </c>
      <c r="B72" s="11" t="s">
        <v>133</v>
      </c>
      <c r="C72" s="11" t="s">
        <v>138</v>
      </c>
      <c r="D72" s="11" t="s">
        <v>313</v>
      </c>
      <c r="E72" s="11">
        <v>67.4775001025656</v>
      </c>
    </row>
    <row r="73" spans="1:5" ht="24.75">
      <c r="A73" s="11" t="s">
        <v>237</v>
      </c>
      <c r="B73" s="11" t="s">
        <v>133</v>
      </c>
      <c r="C73" s="11" t="s">
        <v>138</v>
      </c>
      <c r="D73" s="11" t="s">
        <v>314</v>
      </c>
      <c r="E73" s="11">
        <v>64.479647421969474</v>
      </c>
    </row>
    <row r="74" spans="1:5" ht="24.75">
      <c r="A74" s="11" t="s">
        <v>237</v>
      </c>
      <c r="B74" s="11" t="s">
        <v>133</v>
      </c>
      <c r="C74" s="11" t="s">
        <v>138</v>
      </c>
      <c r="D74" s="11" t="s">
        <v>315</v>
      </c>
      <c r="E74" s="11">
        <v>13.477500020485902</v>
      </c>
    </row>
    <row r="75" spans="1:5" ht="24.75">
      <c r="A75" s="11" t="s">
        <v>237</v>
      </c>
      <c r="B75" s="11" t="s">
        <v>133</v>
      </c>
      <c r="C75" s="11" t="s">
        <v>138</v>
      </c>
      <c r="D75" s="11" t="s">
        <v>316</v>
      </c>
      <c r="E75" s="11">
        <v>84.467500128390611</v>
      </c>
    </row>
    <row r="76" spans="1:5" ht="24.75">
      <c r="A76" s="11" t="s">
        <v>237</v>
      </c>
      <c r="B76" s="11" t="s">
        <v>133</v>
      </c>
      <c r="C76" s="11" t="s">
        <v>138</v>
      </c>
      <c r="D76" s="11" t="s">
        <v>317</v>
      </c>
      <c r="E76" s="11">
        <v>95.101886639783771</v>
      </c>
    </row>
    <row r="77" spans="1:5" ht="24.75">
      <c r="A77" s="11" t="s">
        <v>237</v>
      </c>
      <c r="B77" s="11" t="s">
        <v>133</v>
      </c>
      <c r="C77" s="11" t="s">
        <v>138</v>
      </c>
      <c r="D77" s="11" t="s">
        <v>318</v>
      </c>
      <c r="E77" s="11">
        <v>26.212500039843206</v>
      </c>
    </row>
    <row r="78" spans="1:5" ht="24.75">
      <c r="A78" s="11" t="s">
        <v>237</v>
      </c>
      <c r="B78" s="11" t="s">
        <v>133</v>
      </c>
      <c r="C78" s="11" t="s">
        <v>138</v>
      </c>
      <c r="D78" s="11" t="s">
        <v>319</v>
      </c>
      <c r="E78" s="11">
        <v>112.46250017094302</v>
      </c>
    </row>
    <row r="79" spans="1:5" ht="24.75">
      <c r="A79" s="11" t="s">
        <v>237</v>
      </c>
      <c r="B79" s="11" t="s">
        <v>133</v>
      </c>
      <c r="C79" s="11" t="s">
        <v>138</v>
      </c>
      <c r="D79" s="11" t="s">
        <v>320</v>
      </c>
      <c r="E79" s="11">
        <v>112.46250017094302</v>
      </c>
    </row>
    <row r="80" spans="1:5" ht="24.75">
      <c r="A80" s="11" t="s">
        <v>237</v>
      </c>
      <c r="B80" s="11" t="s">
        <v>133</v>
      </c>
      <c r="C80" s="11" t="s">
        <v>138</v>
      </c>
      <c r="D80" s="11" t="s">
        <v>321</v>
      </c>
      <c r="E80" s="11">
        <v>104.82827469352299</v>
      </c>
    </row>
    <row r="81" spans="1:5" ht="24.75">
      <c r="A81" s="11" t="s">
        <v>237</v>
      </c>
      <c r="B81" s="11" t="s">
        <v>133</v>
      </c>
      <c r="C81" s="11" t="s">
        <v>138</v>
      </c>
      <c r="D81" s="11" t="s">
        <v>322</v>
      </c>
      <c r="E81" s="11">
        <v>21.180000032193405</v>
      </c>
    </row>
    <row r="82" spans="1:5" ht="24.75">
      <c r="A82" s="11" t="s">
        <v>237</v>
      </c>
      <c r="B82" s="11" t="s">
        <v>133</v>
      </c>
      <c r="C82" s="11" t="s">
        <v>138</v>
      </c>
      <c r="D82" s="11" t="s">
        <v>323</v>
      </c>
      <c r="E82" s="11">
        <v>7.3966303683783297</v>
      </c>
    </row>
    <row r="83" spans="1:5" ht="24.75">
      <c r="A83" s="11" t="s">
        <v>237</v>
      </c>
      <c r="B83" s="11" t="s">
        <v>133</v>
      </c>
      <c r="C83" s="11" t="s">
        <v>138</v>
      </c>
      <c r="D83" s="11" t="s">
        <v>324</v>
      </c>
      <c r="E83" s="11">
        <v>5.2668998403144478</v>
      </c>
    </row>
    <row r="84" spans="1:5" ht="24.75">
      <c r="A84" s="11" t="s">
        <v>237</v>
      </c>
      <c r="B84" s="11" t="s">
        <v>133</v>
      </c>
      <c r="C84" s="11" t="s">
        <v>138</v>
      </c>
      <c r="D84" s="11" t="s">
        <v>282</v>
      </c>
      <c r="E84" s="11">
        <v>64.537614454654388</v>
      </c>
    </row>
    <row r="85" spans="1:5" ht="24.75">
      <c r="A85" s="11" t="s">
        <v>237</v>
      </c>
      <c r="B85" s="11" t="s">
        <v>133</v>
      </c>
      <c r="C85" s="11" t="s">
        <v>138</v>
      </c>
      <c r="D85" s="11" t="s">
        <v>283</v>
      </c>
      <c r="E85" s="11">
        <v>3.1931250048539899</v>
      </c>
    </row>
    <row r="86" spans="1:5" ht="24.75">
      <c r="A86" s="11" t="s">
        <v>237</v>
      </c>
      <c r="B86" s="11" t="s">
        <v>133</v>
      </c>
      <c r="C86" s="11" t="s">
        <v>138</v>
      </c>
      <c r="D86" s="11" t="s">
        <v>284</v>
      </c>
      <c r="E86" s="11">
        <v>32.9725000501182</v>
      </c>
    </row>
    <row r="87" spans="1:5" ht="24.75">
      <c r="A87" s="11" t="s">
        <v>237</v>
      </c>
      <c r="B87" s="11" t="s">
        <v>133</v>
      </c>
      <c r="C87" s="11" t="s">
        <v>138</v>
      </c>
      <c r="D87" s="11" t="s">
        <v>285</v>
      </c>
      <c r="E87" s="11">
        <v>33.117500050338307</v>
      </c>
    </row>
    <row r="88" spans="1:5" ht="24.75">
      <c r="A88" s="11" t="s">
        <v>237</v>
      </c>
      <c r="B88" s="11" t="s">
        <v>133</v>
      </c>
      <c r="C88" s="11" t="s">
        <v>150</v>
      </c>
      <c r="D88" s="11" t="s">
        <v>326</v>
      </c>
      <c r="E88" s="11">
        <v>2.5761129379699423</v>
      </c>
    </row>
    <row r="89" spans="1:5" ht="24.75">
      <c r="A89" s="11" t="s">
        <v>237</v>
      </c>
      <c r="B89" s="11" t="s">
        <v>133</v>
      </c>
      <c r="C89" s="11" t="s">
        <v>150</v>
      </c>
      <c r="D89" s="11" t="s">
        <v>327</v>
      </c>
      <c r="E89" s="11">
        <v>11.130182869251579</v>
      </c>
    </row>
    <row r="90" spans="1:5" ht="24.75">
      <c r="A90" s="11" t="s">
        <v>237</v>
      </c>
      <c r="B90" s="11" t="s">
        <v>133</v>
      </c>
      <c r="C90" s="11" t="s">
        <v>150</v>
      </c>
      <c r="D90" s="11" t="s">
        <v>328</v>
      </c>
      <c r="E90" s="11">
        <v>1.4192176057369508</v>
      </c>
    </row>
    <row r="91" spans="1:5" ht="24.75">
      <c r="A91" s="11" t="s">
        <v>237</v>
      </c>
      <c r="B91" s="11" t="s">
        <v>133</v>
      </c>
      <c r="C91" s="11" t="s">
        <v>150</v>
      </c>
      <c r="D91" s="11" t="s">
        <v>329</v>
      </c>
      <c r="E91" s="11">
        <v>13.217621803596586</v>
      </c>
    </row>
    <row r="92" spans="1:5" ht="24.75">
      <c r="A92" s="11" t="s">
        <v>237</v>
      </c>
      <c r="B92" s="11" t="s">
        <v>133</v>
      </c>
      <c r="C92" s="11" t="s">
        <v>150</v>
      </c>
      <c r="D92" s="11" t="s">
        <v>330</v>
      </c>
      <c r="E92" s="11">
        <v>29.127869566777967</v>
      </c>
    </row>
    <row r="93" spans="1:5" ht="24.75">
      <c r="A93" s="11" t="s">
        <v>237</v>
      </c>
      <c r="B93" s="11" t="s">
        <v>133</v>
      </c>
      <c r="C93" s="11" t="s">
        <v>150</v>
      </c>
      <c r="D93" s="11" t="s">
        <v>332</v>
      </c>
      <c r="E93" s="11">
        <v>1.5646579344132301</v>
      </c>
    </row>
    <row r="94" spans="1:5" ht="24.75">
      <c r="A94" s="11" t="s">
        <v>237</v>
      </c>
      <c r="B94" s="11" t="s">
        <v>133</v>
      </c>
      <c r="C94" s="11" t="s">
        <v>150</v>
      </c>
      <c r="D94" s="11" t="s">
        <v>333</v>
      </c>
      <c r="E94" s="11">
        <v>0.85625978664552604</v>
      </c>
    </row>
    <row r="95" spans="1:5" ht="24.75">
      <c r="A95" s="11" t="s">
        <v>237</v>
      </c>
      <c r="B95" s="11" t="s">
        <v>133</v>
      </c>
      <c r="C95" s="11" t="s">
        <v>150</v>
      </c>
      <c r="D95" s="11" t="s">
        <v>334</v>
      </c>
      <c r="E95" s="11">
        <v>13.733649289310847</v>
      </c>
    </row>
    <row r="96" spans="1:5" ht="24.75">
      <c r="A96" s="11" t="s">
        <v>237</v>
      </c>
      <c r="B96" s="11" t="s">
        <v>133</v>
      </c>
      <c r="C96" s="11" t="s">
        <v>150</v>
      </c>
      <c r="D96" s="11" t="s">
        <v>335</v>
      </c>
      <c r="E96" s="11">
        <v>15.525215342973828</v>
      </c>
    </row>
    <row r="97" spans="1:5" ht="24.75">
      <c r="A97" s="11" t="s">
        <v>237</v>
      </c>
      <c r="B97" s="11" t="s">
        <v>133</v>
      </c>
      <c r="C97" s="11" t="s">
        <v>150</v>
      </c>
      <c r="D97" s="11" t="s">
        <v>336</v>
      </c>
      <c r="E97" s="11">
        <v>0.90437580637444526</v>
      </c>
    </row>
    <row r="98" spans="1:5" ht="24.75">
      <c r="A98" s="11" t="s">
        <v>237</v>
      </c>
      <c r="B98" s="11" t="s">
        <v>133</v>
      </c>
      <c r="C98" s="11" t="s">
        <v>150</v>
      </c>
      <c r="D98" s="11" t="s">
        <v>337</v>
      </c>
      <c r="E98" s="11">
        <v>24.177094115274784</v>
      </c>
    </row>
    <row r="99" spans="1:5" ht="24.75">
      <c r="A99" s="11" t="s">
        <v>237</v>
      </c>
      <c r="B99" s="11" t="s">
        <v>133</v>
      </c>
      <c r="C99" s="11" t="s">
        <v>150</v>
      </c>
      <c r="D99" s="11" t="s">
        <v>338</v>
      </c>
      <c r="E99" s="11">
        <v>1.1262509592124215</v>
      </c>
    </row>
    <row r="100" spans="1:5" ht="24.75">
      <c r="A100" s="11" t="s">
        <v>237</v>
      </c>
      <c r="B100" s="11" t="s">
        <v>133</v>
      </c>
      <c r="C100" s="11" t="s">
        <v>150</v>
      </c>
      <c r="D100" s="11" t="s">
        <v>339</v>
      </c>
      <c r="E100" s="11">
        <v>38.553696079456223</v>
      </c>
    </row>
    <row r="101" spans="1:5" ht="24.75">
      <c r="A101" s="11" t="s">
        <v>237</v>
      </c>
      <c r="B101" s="11" t="s">
        <v>133</v>
      </c>
      <c r="C101" s="11" t="s">
        <v>150</v>
      </c>
      <c r="D101" s="11" t="s">
        <v>341</v>
      </c>
      <c r="E101" s="11">
        <v>0.1736139392935542</v>
      </c>
    </row>
    <row r="102" spans="1:5" ht="24.75">
      <c r="A102" s="11" t="s">
        <v>237</v>
      </c>
      <c r="B102" s="11" t="s">
        <v>133</v>
      </c>
      <c r="C102" s="11" t="s">
        <v>150</v>
      </c>
      <c r="D102" s="11" t="s">
        <v>342</v>
      </c>
      <c r="E102" s="11">
        <v>3.0609351201622417</v>
      </c>
    </row>
    <row r="103" spans="1:5" ht="24.75">
      <c r="A103" s="11" t="s">
        <v>237</v>
      </c>
      <c r="B103" s="11" t="s">
        <v>133</v>
      </c>
      <c r="C103" s="11" t="s">
        <v>150</v>
      </c>
      <c r="D103" s="11" t="s">
        <v>343</v>
      </c>
      <c r="E103" s="11">
        <v>1.3875000021089501</v>
      </c>
    </row>
    <row r="104" spans="1:5" ht="24.75">
      <c r="A104" s="11" t="s">
        <v>237</v>
      </c>
      <c r="B104" s="11" t="s">
        <v>133</v>
      </c>
      <c r="C104" s="11" t="s">
        <v>150</v>
      </c>
      <c r="D104" s="11" t="s">
        <v>345</v>
      </c>
      <c r="E104" s="11">
        <v>46.512714734845034</v>
      </c>
    </row>
    <row r="105" spans="1:5" ht="24.75">
      <c r="A105" s="11" t="s">
        <v>237</v>
      </c>
      <c r="B105" s="11" t="s">
        <v>133</v>
      </c>
      <c r="C105" s="11" t="s">
        <v>150</v>
      </c>
      <c r="D105" s="11" t="s">
        <v>347</v>
      </c>
      <c r="E105" s="11">
        <v>12.596250019146302</v>
      </c>
    </row>
    <row r="106" spans="1:5" ht="24.75">
      <c r="A106" s="11" t="s">
        <v>237</v>
      </c>
      <c r="B106" s="11" t="s">
        <v>133</v>
      </c>
      <c r="C106" s="11" t="s">
        <v>150</v>
      </c>
      <c r="D106" s="11" t="s">
        <v>348</v>
      </c>
      <c r="E106" s="11">
        <v>9.3276013071049739</v>
      </c>
    </row>
    <row r="107" spans="1:5" ht="24.75">
      <c r="A107" s="11" t="s">
        <v>237</v>
      </c>
      <c r="B107" s="11" t="s">
        <v>133</v>
      </c>
      <c r="C107" s="11" t="s">
        <v>150</v>
      </c>
      <c r="D107" s="11" t="s">
        <v>349</v>
      </c>
      <c r="E107" s="11">
        <v>7.3462504155781509</v>
      </c>
    </row>
    <row r="108" spans="1:5" ht="24.75">
      <c r="A108" s="11" t="s">
        <v>237</v>
      </c>
      <c r="B108" s="11" t="s">
        <v>133</v>
      </c>
      <c r="C108" s="11" t="s">
        <v>150</v>
      </c>
      <c r="D108" s="11" t="s">
        <v>350</v>
      </c>
      <c r="E108" s="11">
        <v>1.5325746499949235</v>
      </c>
    </row>
    <row r="109" spans="1:5" ht="24.75">
      <c r="A109" s="11" t="s">
        <v>237</v>
      </c>
      <c r="B109" s="11" t="s">
        <v>133</v>
      </c>
      <c r="C109" s="11" t="s">
        <v>150</v>
      </c>
      <c r="D109" s="11" t="s">
        <v>353</v>
      </c>
      <c r="E109" s="11">
        <v>24.752941373165473</v>
      </c>
    </row>
    <row r="110" spans="1:5" ht="24.75">
      <c r="A110" s="11" t="s">
        <v>237</v>
      </c>
      <c r="B110" s="11" t="s">
        <v>133</v>
      </c>
      <c r="C110" s="11" t="s">
        <v>150</v>
      </c>
      <c r="D110" s="11" t="s">
        <v>354</v>
      </c>
      <c r="E110" s="11">
        <v>1.5693459026362762</v>
      </c>
    </row>
    <row r="111" spans="1:5" ht="24.75">
      <c r="A111" s="11" t="s">
        <v>237</v>
      </c>
      <c r="B111" s="11" t="s">
        <v>133</v>
      </c>
      <c r="C111" s="11" t="s">
        <v>150</v>
      </c>
      <c r="D111" s="11" t="s">
        <v>355</v>
      </c>
      <c r="E111" s="11">
        <v>20.28353592304688</v>
      </c>
    </row>
    <row r="112" spans="1:5" ht="24.75">
      <c r="A112" s="11" t="s">
        <v>237</v>
      </c>
      <c r="B112" s="11" t="s">
        <v>133</v>
      </c>
      <c r="C112" s="11" t="s">
        <v>150</v>
      </c>
      <c r="D112" s="11" t="s">
        <v>356</v>
      </c>
      <c r="E112" s="11">
        <v>36.743694544704219</v>
      </c>
    </row>
    <row r="113" spans="1:5" ht="24.75">
      <c r="A113" s="11" t="s">
        <v>237</v>
      </c>
      <c r="B113" s="11" t="s">
        <v>133</v>
      </c>
      <c r="C113" s="11" t="s">
        <v>150</v>
      </c>
      <c r="D113" s="11" t="s">
        <v>357</v>
      </c>
      <c r="E113" s="11">
        <v>39.70622683629297</v>
      </c>
    </row>
    <row r="114" spans="1:5" ht="24.75">
      <c r="A114" s="11" t="s">
        <v>237</v>
      </c>
      <c r="B114" s="11" t="s">
        <v>133</v>
      </c>
      <c r="C114" s="11" t="s">
        <v>150</v>
      </c>
      <c r="D114" s="11" t="s">
        <v>358</v>
      </c>
      <c r="E114" s="11">
        <v>48.662713450113429</v>
      </c>
    </row>
    <row r="115" spans="1:5" ht="24.75">
      <c r="A115" s="11" t="s">
        <v>237</v>
      </c>
      <c r="B115" s="11" t="s">
        <v>133</v>
      </c>
      <c r="C115" s="11" t="s">
        <v>150</v>
      </c>
      <c r="D115" s="11" t="s">
        <v>359</v>
      </c>
      <c r="E115" s="11">
        <v>52.131623686453771</v>
      </c>
    </row>
    <row r="116" spans="1:5" ht="24.75">
      <c r="A116" s="11" t="s">
        <v>237</v>
      </c>
      <c r="B116" s="11" t="s">
        <v>133</v>
      </c>
      <c r="C116" s="11" t="s">
        <v>150</v>
      </c>
      <c r="D116" s="11" t="s">
        <v>361</v>
      </c>
      <c r="E116" s="11">
        <v>0.6444189267945849</v>
      </c>
    </row>
    <row r="117" spans="1:5" ht="24.75">
      <c r="A117" s="11" t="s">
        <v>237</v>
      </c>
      <c r="B117" s="11" t="s">
        <v>133</v>
      </c>
      <c r="C117" s="11" t="s">
        <v>150</v>
      </c>
      <c r="D117" s="11" t="s">
        <v>362</v>
      </c>
      <c r="E117" s="11">
        <v>3.5950000054644207</v>
      </c>
    </row>
    <row r="118" spans="1:5" ht="24.75">
      <c r="A118" s="11" t="s">
        <v>237</v>
      </c>
      <c r="B118" s="11" t="s">
        <v>133</v>
      </c>
      <c r="C118" s="11" t="s">
        <v>150</v>
      </c>
      <c r="D118" s="11" t="s">
        <v>364</v>
      </c>
      <c r="E118" s="11">
        <v>1.137594649041954</v>
      </c>
    </row>
    <row r="119" spans="1:5" ht="24.75">
      <c r="A119" s="11" t="s">
        <v>237</v>
      </c>
      <c r="B119" s="11" t="s">
        <v>133</v>
      </c>
      <c r="C119" s="11" t="s">
        <v>150</v>
      </c>
      <c r="D119" s="11" t="s">
        <v>365</v>
      </c>
      <c r="E119" s="11">
        <v>39.318968535502634</v>
      </c>
    </row>
    <row r="120" spans="1:5">
      <c r="A120" s="1" t="s">
        <v>126</v>
      </c>
      <c r="B120" s="1" t="s">
        <v>126</v>
      </c>
      <c r="C120" s="1">
        <f>SUBTOTAL(103,Elements138141[Elemento])</f>
        <v>113</v>
      </c>
      <c r="D120" s="1" t="s">
        <v>126</v>
      </c>
      <c r="E120" s="1">
        <f>SUBTOTAL(109,Elements138141[Totais:])</f>
        <v>4557.0581373434243</v>
      </c>
    </row>
    <row r="123" spans="1:5">
      <c r="A123" s="23" t="s">
        <v>70</v>
      </c>
      <c r="B123" s="23" t="s">
        <v>70</v>
      </c>
      <c r="C123" s="23" t="s">
        <v>70</v>
      </c>
      <c r="D123" s="23" t="s">
        <v>70</v>
      </c>
      <c r="E123" s="23" t="s">
        <v>70</v>
      </c>
    </row>
    <row r="124" spans="1:5">
      <c r="A124" s="23" t="s">
        <v>70</v>
      </c>
      <c r="B124" s="23" t="s">
        <v>70</v>
      </c>
      <c r="C124" s="23" t="s">
        <v>70</v>
      </c>
      <c r="D124" s="23" t="s">
        <v>70</v>
      </c>
      <c r="E124" s="23" t="s">
        <v>70</v>
      </c>
    </row>
    <row r="126" spans="1:5">
      <c r="A126" s="18" t="s">
        <v>152</v>
      </c>
      <c r="B126" s="18" t="s">
        <v>152</v>
      </c>
      <c r="C126" s="18" t="s">
        <v>152</v>
      </c>
      <c r="D126" s="18" t="s">
        <v>152</v>
      </c>
      <c r="E126" s="18" t="s">
        <v>152</v>
      </c>
    </row>
    <row r="127" spans="1:5">
      <c r="A127" s="24" t="s">
        <v>197</v>
      </c>
      <c r="B127" s="24" t="s">
        <v>197</v>
      </c>
      <c r="C127" s="24" t="s">
        <v>197</v>
      </c>
      <c r="D127" s="24" t="s">
        <v>197</v>
      </c>
      <c r="E127" s="24" t="s">
        <v>197</v>
      </c>
    </row>
    <row r="128" spans="1:5">
      <c r="A128" s="10" t="s">
        <v>232</v>
      </c>
      <c r="B128" s="10" t="s">
        <v>233</v>
      </c>
      <c r="C128" s="10" t="s">
        <v>234</v>
      </c>
      <c r="D128" s="10" t="s">
        <v>235</v>
      </c>
      <c r="E128" s="10" t="s">
        <v>236</v>
      </c>
    </row>
    <row r="129" spans="1:5" ht="24.75">
      <c r="A129" s="11" t="s">
        <v>237</v>
      </c>
      <c r="B129" s="11" t="s">
        <v>133</v>
      </c>
      <c r="C129" s="11" t="s">
        <v>185</v>
      </c>
      <c r="D129" s="11" t="s">
        <v>800</v>
      </c>
      <c r="E129" s="11">
        <v>4.7128323592306156</v>
      </c>
    </row>
    <row r="130" spans="1:5" ht="24.75">
      <c r="A130" s="11" t="s">
        <v>237</v>
      </c>
      <c r="B130" s="11" t="s">
        <v>133</v>
      </c>
      <c r="C130" s="11" t="s">
        <v>185</v>
      </c>
      <c r="D130" s="11" t="s">
        <v>801</v>
      </c>
      <c r="E130" s="11">
        <v>2.9900000045475404E-2</v>
      </c>
    </row>
    <row r="131" spans="1:5" ht="24.75">
      <c r="A131" s="11" t="s">
        <v>237</v>
      </c>
      <c r="B131" s="11" t="s">
        <v>133</v>
      </c>
      <c r="C131" s="11" t="s">
        <v>185</v>
      </c>
      <c r="D131" s="11" t="s">
        <v>802</v>
      </c>
      <c r="E131" s="11">
        <v>3.1954000048570181</v>
      </c>
    </row>
    <row r="132" spans="1:5" ht="24.75">
      <c r="A132" s="11" t="s">
        <v>237</v>
      </c>
      <c r="B132" s="11" t="s">
        <v>133</v>
      </c>
      <c r="C132" s="11" t="s">
        <v>185</v>
      </c>
      <c r="D132" s="11" t="s">
        <v>803</v>
      </c>
      <c r="E132" s="11">
        <v>0.16770000025489401</v>
      </c>
    </row>
    <row r="133" spans="1:5" ht="24.75">
      <c r="A133" s="11" t="s">
        <v>237</v>
      </c>
      <c r="B133" s="11" t="s">
        <v>133</v>
      </c>
      <c r="C133" s="11" t="s">
        <v>185</v>
      </c>
      <c r="D133" s="11" t="s">
        <v>804</v>
      </c>
      <c r="E133" s="11">
        <v>1.1076000016835521</v>
      </c>
    </row>
    <row r="134" spans="1:5" ht="24.75">
      <c r="A134" s="11" t="s">
        <v>237</v>
      </c>
      <c r="B134" s="11" t="s">
        <v>133</v>
      </c>
      <c r="C134" s="11" t="s">
        <v>185</v>
      </c>
      <c r="D134" s="11" t="s">
        <v>805</v>
      </c>
      <c r="E134" s="11">
        <v>8.3268323647234066</v>
      </c>
    </row>
    <row r="135" spans="1:5" ht="24.75">
      <c r="A135" s="11" t="s">
        <v>237</v>
      </c>
      <c r="B135" s="11" t="s">
        <v>133</v>
      </c>
      <c r="C135" s="11" t="s">
        <v>160</v>
      </c>
      <c r="D135" s="11" t="s">
        <v>418</v>
      </c>
      <c r="E135" s="11">
        <v>0.47629844378417474</v>
      </c>
    </row>
    <row r="136" spans="1:5" ht="24.75">
      <c r="A136" s="11" t="s">
        <v>237</v>
      </c>
      <c r="B136" s="11" t="s">
        <v>133</v>
      </c>
      <c r="C136" s="11" t="s">
        <v>160</v>
      </c>
      <c r="D136" s="11" t="s">
        <v>419</v>
      </c>
      <c r="E136" s="11">
        <v>0.32646374489536789</v>
      </c>
    </row>
    <row r="137" spans="1:5" ht="24.75">
      <c r="A137" s="11" t="s">
        <v>237</v>
      </c>
      <c r="B137" s="11" t="s">
        <v>133</v>
      </c>
      <c r="C137" s="11" t="s">
        <v>160</v>
      </c>
      <c r="D137" s="11" t="s">
        <v>420</v>
      </c>
      <c r="E137" s="11">
        <v>0.20974343982003807</v>
      </c>
    </row>
    <row r="138" spans="1:5" ht="24.75">
      <c r="A138" s="11" t="s">
        <v>237</v>
      </c>
      <c r="B138" s="11" t="s">
        <v>133</v>
      </c>
      <c r="C138" s="11" t="s">
        <v>160</v>
      </c>
      <c r="D138" s="11" t="s">
        <v>423</v>
      </c>
      <c r="E138" s="11">
        <v>1.1839532384534388</v>
      </c>
    </row>
    <row r="139" spans="1:5" ht="24.75">
      <c r="A139" s="11" t="s">
        <v>237</v>
      </c>
      <c r="B139" s="11" t="s">
        <v>133</v>
      </c>
      <c r="C139" s="11" t="s">
        <v>160</v>
      </c>
      <c r="D139" s="11" t="s">
        <v>424</v>
      </c>
      <c r="E139" s="11">
        <v>0.1104968910962203</v>
      </c>
    </row>
    <row r="140" spans="1:5" ht="24.75">
      <c r="A140" s="11" t="s">
        <v>237</v>
      </c>
      <c r="B140" s="11" t="s">
        <v>133</v>
      </c>
      <c r="C140" s="11" t="s">
        <v>160</v>
      </c>
      <c r="D140" s="11" t="s">
        <v>425</v>
      </c>
      <c r="E140" s="11">
        <v>0.12870000019563702</v>
      </c>
    </row>
    <row r="141" spans="1:5" ht="24.75">
      <c r="A141" s="11" t="s">
        <v>237</v>
      </c>
      <c r="B141" s="11" t="s">
        <v>133</v>
      </c>
      <c r="C141" s="11" t="s">
        <v>160</v>
      </c>
      <c r="D141" s="11" t="s">
        <v>426</v>
      </c>
      <c r="E141" s="11">
        <v>1.4329573402088052</v>
      </c>
    </row>
    <row r="142" spans="1:5" ht="24.75">
      <c r="A142" s="11" t="s">
        <v>237</v>
      </c>
      <c r="B142" s="11" t="s">
        <v>133</v>
      </c>
      <c r="C142" s="11" t="s">
        <v>160</v>
      </c>
      <c r="D142" s="11" t="s">
        <v>427</v>
      </c>
      <c r="E142" s="11">
        <v>6.0179711785199963</v>
      </c>
    </row>
    <row r="143" spans="1:5" ht="24.75">
      <c r="A143" s="11" t="s">
        <v>237</v>
      </c>
      <c r="B143" s="11" t="s">
        <v>133</v>
      </c>
      <c r="C143" s="11" t="s">
        <v>160</v>
      </c>
      <c r="D143" s="11" t="s">
        <v>428</v>
      </c>
      <c r="E143" s="11">
        <v>2.0866614374397355E-2</v>
      </c>
    </row>
    <row r="144" spans="1:5" ht="24.75">
      <c r="A144" s="11" t="s">
        <v>237</v>
      </c>
      <c r="B144" s="11" t="s">
        <v>133</v>
      </c>
      <c r="C144" s="11" t="s">
        <v>160</v>
      </c>
      <c r="D144" s="11" t="s">
        <v>429</v>
      </c>
      <c r="E144" s="11">
        <v>0.36163507897317443</v>
      </c>
    </row>
    <row r="145" spans="1:5" ht="24.75">
      <c r="A145" s="11" t="s">
        <v>237</v>
      </c>
      <c r="B145" s="11" t="s">
        <v>133</v>
      </c>
      <c r="C145" s="11" t="s">
        <v>160</v>
      </c>
      <c r="D145" s="11" t="s">
        <v>430</v>
      </c>
      <c r="E145" s="11">
        <v>4.8750733778694523E-2</v>
      </c>
    </row>
    <row r="146" spans="1:5" ht="24.75">
      <c r="A146" s="11" t="s">
        <v>237</v>
      </c>
      <c r="B146" s="11" t="s">
        <v>133</v>
      </c>
      <c r="C146" s="11" t="s">
        <v>160</v>
      </c>
      <c r="D146" s="11" t="s">
        <v>432</v>
      </c>
      <c r="E146" s="11">
        <v>2.8831218545520253E-2</v>
      </c>
    </row>
    <row r="147" spans="1:5" ht="24.75">
      <c r="A147" s="11" t="s">
        <v>237</v>
      </c>
      <c r="B147" s="11" t="s">
        <v>133</v>
      </c>
      <c r="C147" s="11" t="s">
        <v>160</v>
      </c>
      <c r="D147" s="11" t="s">
        <v>433</v>
      </c>
      <c r="E147" s="11">
        <v>0.9540753418635326</v>
      </c>
    </row>
    <row r="148" spans="1:5" ht="24.75">
      <c r="A148" s="11" t="s">
        <v>237</v>
      </c>
      <c r="B148" s="11" t="s">
        <v>133</v>
      </c>
      <c r="C148" s="11" t="s">
        <v>160</v>
      </c>
      <c r="D148" s="11" t="s">
        <v>434</v>
      </c>
      <c r="E148" s="11">
        <v>0.33608178938089339</v>
      </c>
    </row>
    <row r="149" spans="1:5" ht="24.75">
      <c r="A149" s="11" t="s">
        <v>237</v>
      </c>
      <c r="B149" s="11" t="s">
        <v>133</v>
      </c>
      <c r="C149" s="11" t="s">
        <v>160</v>
      </c>
      <c r="D149" s="11" t="s">
        <v>435</v>
      </c>
      <c r="E149" s="11">
        <v>0.30953600581114876</v>
      </c>
    </row>
    <row r="150" spans="1:5" ht="24.75">
      <c r="A150" s="11" t="s">
        <v>237</v>
      </c>
      <c r="B150" s="11" t="s">
        <v>133</v>
      </c>
      <c r="C150" s="11" t="s">
        <v>160</v>
      </c>
      <c r="D150" s="11" t="s">
        <v>436</v>
      </c>
      <c r="E150" s="11">
        <v>1.5660906202878679</v>
      </c>
    </row>
    <row r="151" spans="1:5" ht="24.75">
      <c r="A151" s="11" t="s">
        <v>237</v>
      </c>
      <c r="B151" s="11" t="s">
        <v>133</v>
      </c>
      <c r="C151" s="11" t="s">
        <v>160</v>
      </c>
      <c r="D151" s="11" t="s">
        <v>437</v>
      </c>
      <c r="E151" s="11">
        <v>5.6371312995276606</v>
      </c>
    </row>
    <row r="152" spans="1:5" ht="24.75">
      <c r="A152" s="11" t="s">
        <v>237</v>
      </c>
      <c r="B152" s="11" t="s">
        <v>133</v>
      </c>
      <c r="C152" s="11" t="s">
        <v>160</v>
      </c>
      <c r="D152" s="11" t="s">
        <v>438</v>
      </c>
      <c r="E152" s="11">
        <v>0.54484102274395141</v>
      </c>
    </row>
    <row r="153" spans="1:5" ht="24.75">
      <c r="A153" s="11" t="s">
        <v>237</v>
      </c>
      <c r="B153" s="11" t="s">
        <v>133</v>
      </c>
      <c r="C153" s="11" t="s">
        <v>160</v>
      </c>
      <c r="D153" s="11" t="s">
        <v>445</v>
      </c>
      <c r="E153" s="11">
        <v>0.75543705746544942</v>
      </c>
    </row>
    <row r="154" spans="1:5" ht="24.75">
      <c r="A154" s="11" t="s">
        <v>237</v>
      </c>
      <c r="B154" s="11" t="s">
        <v>133</v>
      </c>
      <c r="C154" s="11" t="s">
        <v>160</v>
      </c>
      <c r="D154" s="11" t="s">
        <v>446</v>
      </c>
      <c r="E154" s="11">
        <v>1.4841436471057183</v>
      </c>
    </row>
    <row r="155" spans="1:5" ht="24.75">
      <c r="A155" s="11" t="s">
        <v>237</v>
      </c>
      <c r="B155" s="11" t="s">
        <v>133</v>
      </c>
      <c r="C155" s="11" t="s">
        <v>160</v>
      </c>
      <c r="D155" s="11" t="s">
        <v>447</v>
      </c>
      <c r="E155" s="11">
        <v>0.33805659465943105</v>
      </c>
    </row>
    <row r="156" spans="1:5" ht="24.75">
      <c r="A156" s="11" t="s">
        <v>237</v>
      </c>
      <c r="B156" s="11" t="s">
        <v>133</v>
      </c>
      <c r="C156" s="11" t="s">
        <v>160</v>
      </c>
      <c r="D156" s="11" t="s">
        <v>448</v>
      </c>
      <c r="E156" s="11">
        <v>8.9377069221544553E-3</v>
      </c>
    </row>
    <row r="157" spans="1:5" ht="24.75">
      <c r="A157" s="11" t="s">
        <v>237</v>
      </c>
      <c r="B157" s="11" t="s">
        <v>133</v>
      </c>
      <c r="C157" s="11" t="s">
        <v>160</v>
      </c>
      <c r="D157" s="11" t="s">
        <v>449</v>
      </c>
      <c r="E157" s="11">
        <v>0.74286817925944071</v>
      </c>
    </row>
    <row r="158" spans="1:5" ht="24.75">
      <c r="A158" s="11" t="s">
        <v>237</v>
      </c>
      <c r="B158" s="11" t="s">
        <v>133</v>
      </c>
      <c r="C158" s="11" t="s">
        <v>160</v>
      </c>
      <c r="D158" s="11" t="s">
        <v>450</v>
      </c>
      <c r="E158" s="11">
        <v>0.29512501196168306</v>
      </c>
    </row>
    <row r="159" spans="1:5" ht="24.75">
      <c r="A159" s="11" t="s">
        <v>237</v>
      </c>
      <c r="B159" s="11" t="s">
        <v>133</v>
      </c>
      <c r="C159" s="11" t="s">
        <v>160</v>
      </c>
      <c r="D159" s="11" t="s">
        <v>451</v>
      </c>
      <c r="E159" s="11">
        <v>4.5947614502639775E-2</v>
      </c>
    </row>
    <row r="160" spans="1:5" ht="24.75">
      <c r="A160" s="11" t="s">
        <v>237</v>
      </c>
      <c r="B160" s="11" t="s">
        <v>133</v>
      </c>
      <c r="C160" s="11" t="s">
        <v>160</v>
      </c>
      <c r="D160" s="11" t="s">
        <v>452</v>
      </c>
      <c r="E160" s="11">
        <v>0.89776028072411573</v>
      </c>
    </row>
    <row r="161" spans="1:5" ht="24.75">
      <c r="A161" s="11" t="s">
        <v>237</v>
      </c>
      <c r="B161" s="11" t="s">
        <v>133</v>
      </c>
      <c r="C161" s="11" t="s">
        <v>160</v>
      </c>
      <c r="D161" s="11" t="s">
        <v>453</v>
      </c>
      <c r="E161" s="11">
        <v>1.7315630934421862</v>
      </c>
    </row>
    <row r="162" spans="1:5" ht="24.75">
      <c r="A162" s="11" t="s">
        <v>237</v>
      </c>
      <c r="B162" s="11" t="s">
        <v>133</v>
      </c>
      <c r="C162" s="11" t="s">
        <v>160</v>
      </c>
      <c r="D162" s="11" t="s">
        <v>454</v>
      </c>
      <c r="E162" s="11">
        <v>1.1769874040537409</v>
      </c>
    </row>
    <row r="163" spans="1:5" ht="24.75">
      <c r="A163" s="11" t="s">
        <v>237</v>
      </c>
      <c r="B163" s="11" t="s">
        <v>133</v>
      </c>
      <c r="C163" s="11" t="s">
        <v>160</v>
      </c>
      <c r="D163" s="11" t="s">
        <v>455</v>
      </c>
      <c r="E163" s="11">
        <v>7.5234857568185792E-2</v>
      </c>
    </row>
    <row r="164" spans="1:5" ht="24.75">
      <c r="A164" s="11" t="s">
        <v>237</v>
      </c>
      <c r="B164" s="11" t="s">
        <v>133</v>
      </c>
      <c r="C164" s="11" t="s">
        <v>160</v>
      </c>
      <c r="D164" s="11" t="s">
        <v>456</v>
      </c>
      <c r="E164" s="11">
        <v>0.21830952293407652</v>
      </c>
    </row>
    <row r="165" spans="1:5" ht="24.75">
      <c r="A165" s="11" t="s">
        <v>237</v>
      </c>
      <c r="B165" s="11" t="s">
        <v>133</v>
      </c>
      <c r="C165" s="11" t="s">
        <v>160</v>
      </c>
      <c r="D165" s="11" t="s">
        <v>457</v>
      </c>
      <c r="E165" s="11">
        <v>4.1478681541632705</v>
      </c>
    </row>
    <row r="166" spans="1:5" ht="24.75">
      <c r="A166" s="11" t="s">
        <v>237</v>
      </c>
      <c r="B166" s="11" t="s">
        <v>133</v>
      </c>
      <c r="C166" s="11" t="s">
        <v>160</v>
      </c>
      <c r="D166" s="11" t="s">
        <v>458</v>
      </c>
      <c r="E166" s="11">
        <v>1.726095292493615</v>
      </c>
    </row>
    <row r="167" spans="1:5" ht="24.75">
      <c r="A167" s="11" t="s">
        <v>237</v>
      </c>
      <c r="B167" s="11" t="s">
        <v>133</v>
      </c>
      <c r="C167" s="11" t="s">
        <v>155</v>
      </c>
      <c r="D167" s="11" t="s">
        <v>487</v>
      </c>
      <c r="E167" s="11">
        <v>9.9687991695566645</v>
      </c>
    </row>
    <row r="168" spans="1:5" ht="24.75">
      <c r="A168" s="11" t="s">
        <v>237</v>
      </c>
      <c r="B168" s="11" t="s">
        <v>133</v>
      </c>
      <c r="C168" s="11" t="s">
        <v>155</v>
      </c>
      <c r="D168" s="11" t="s">
        <v>488</v>
      </c>
      <c r="E168" s="11">
        <v>0.16900000025688505</v>
      </c>
    </row>
    <row r="169" spans="1:5" ht="24.75">
      <c r="A169" s="11" t="s">
        <v>237</v>
      </c>
      <c r="B169" s="11" t="s">
        <v>133</v>
      </c>
      <c r="C169" s="11" t="s">
        <v>155</v>
      </c>
      <c r="D169" s="11" t="s">
        <v>489</v>
      </c>
      <c r="E169" s="11">
        <v>4.9179000074751578</v>
      </c>
    </row>
    <row r="170" spans="1:5" ht="24.75">
      <c r="A170" s="11" t="s">
        <v>237</v>
      </c>
      <c r="B170" s="11" t="s">
        <v>133</v>
      </c>
      <c r="C170" s="11" t="s">
        <v>155</v>
      </c>
      <c r="D170" s="11" t="s">
        <v>490</v>
      </c>
      <c r="E170" s="11">
        <v>5.3040000080621095</v>
      </c>
    </row>
    <row r="171" spans="1:5" ht="24.75">
      <c r="A171" s="11" t="s">
        <v>237</v>
      </c>
      <c r="B171" s="11" t="s">
        <v>133</v>
      </c>
      <c r="C171" s="11" t="s">
        <v>155</v>
      </c>
      <c r="D171" s="11" t="s">
        <v>491</v>
      </c>
      <c r="E171" s="11">
        <v>3.53600000537473</v>
      </c>
    </row>
    <row r="172" spans="1:5" ht="24.75">
      <c r="A172" s="11" t="s">
        <v>237</v>
      </c>
      <c r="B172" s="11" t="s">
        <v>133</v>
      </c>
      <c r="C172" s="11" t="s">
        <v>155</v>
      </c>
      <c r="D172" s="11" t="s">
        <v>492</v>
      </c>
      <c r="E172" s="11">
        <v>16.678071527140968</v>
      </c>
    </row>
    <row r="173" spans="1:5" ht="24.75">
      <c r="A173" s="11" t="s">
        <v>237</v>
      </c>
      <c r="B173" s="11" t="s">
        <v>133</v>
      </c>
      <c r="C173" s="11" t="s">
        <v>155</v>
      </c>
      <c r="D173" s="11" t="s">
        <v>493</v>
      </c>
      <c r="E173" s="11">
        <v>3.0986800047100336</v>
      </c>
    </row>
    <row r="174" spans="1:5" ht="24.75">
      <c r="A174" s="11" t="s">
        <v>237</v>
      </c>
      <c r="B174" s="11" t="s">
        <v>133</v>
      </c>
      <c r="C174" s="11" t="s">
        <v>155</v>
      </c>
      <c r="D174" s="11" t="s">
        <v>494</v>
      </c>
      <c r="E174" s="11">
        <v>2.6003772694953335</v>
      </c>
    </row>
    <row r="175" spans="1:5" ht="24.75">
      <c r="A175" s="11" t="s">
        <v>237</v>
      </c>
      <c r="B175" s="11" t="s">
        <v>133</v>
      </c>
      <c r="C175" s="11" t="s">
        <v>155</v>
      </c>
      <c r="D175" s="11" t="s">
        <v>496</v>
      </c>
      <c r="E175" s="11">
        <v>3.3379450050736668</v>
      </c>
    </row>
    <row r="176" spans="1:5" ht="24.75">
      <c r="A176" s="11" t="s">
        <v>237</v>
      </c>
      <c r="B176" s="11" t="s">
        <v>133</v>
      </c>
      <c r="C176" s="11" t="s">
        <v>155</v>
      </c>
      <c r="D176" s="11" t="s">
        <v>497</v>
      </c>
      <c r="E176" s="11">
        <v>9.0453067959363871</v>
      </c>
    </row>
    <row r="177" spans="1:5" ht="24.75">
      <c r="A177" s="11" t="s">
        <v>237</v>
      </c>
      <c r="B177" s="11" t="s">
        <v>133</v>
      </c>
      <c r="C177" s="11" t="s">
        <v>155</v>
      </c>
      <c r="D177" s="11" t="s">
        <v>498</v>
      </c>
      <c r="E177" s="11">
        <v>6.8763500104520228</v>
      </c>
    </row>
    <row r="178" spans="1:5" ht="24.75">
      <c r="A178" s="11" t="s">
        <v>237</v>
      </c>
      <c r="B178" s="11" t="s">
        <v>133</v>
      </c>
      <c r="C178" s="11" t="s">
        <v>155</v>
      </c>
      <c r="D178" s="11" t="s">
        <v>499</v>
      </c>
      <c r="E178" s="11">
        <v>8.2613817806904617</v>
      </c>
    </row>
    <row r="179" spans="1:5" ht="24.75">
      <c r="A179" s="11" t="s">
        <v>237</v>
      </c>
      <c r="B179" s="11" t="s">
        <v>133</v>
      </c>
      <c r="C179" s="11" t="s">
        <v>155</v>
      </c>
      <c r="D179" s="11" t="s">
        <v>500</v>
      </c>
      <c r="E179" s="11">
        <v>6.8058900103449229</v>
      </c>
    </row>
    <row r="180" spans="1:5" ht="24.75">
      <c r="A180" s="11" t="s">
        <v>237</v>
      </c>
      <c r="B180" s="11" t="s">
        <v>133</v>
      </c>
      <c r="C180" s="11" t="s">
        <v>155</v>
      </c>
      <c r="D180" s="11" t="s">
        <v>501</v>
      </c>
      <c r="E180" s="11">
        <v>1.650368901447661</v>
      </c>
    </row>
    <row r="181" spans="1:5" ht="24.75">
      <c r="A181" s="11" t="s">
        <v>237</v>
      </c>
      <c r="B181" s="11" t="s">
        <v>133</v>
      </c>
      <c r="C181" s="11" t="s">
        <v>155</v>
      </c>
      <c r="D181" s="11" t="s">
        <v>502</v>
      </c>
      <c r="E181" s="11">
        <v>2.4215327641931101</v>
      </c>
    </row>
    <row r="182" spans="1:5" ht="24.75">
      <c r="A182" s="11" t="s">
        <v>237</v>
      </c>
      <c r="B182" s="11" t="s">
        <v>133</v>
      </c>
      <c r="C182" s="11" t="s">
        <v>155</v>
      </c>
      <c r="D182" s="11" t="s">
        <v>503</v>
      </c>
      <c r="E182" s="11">
        <v>6.7975700103322776</v>
      </c>
    </row>
    <row r="183" spans="1:5" ht="24.75">
      <c r="A183" s="11" t="s">
        <v>237</v>
      </c>
      <c r="B183" s="11" t="s">
        <v>133</v>
      </c>
      <c r="C183" s="11" t="s">
        <v>155</v>
      </c>
      <c r="D183" s="11" t="s">
        <v>504</v>
      </c>
      <c r="E183" s="11">
        <v>2.2521841650183699E-2</v>
      </c>
    </row>
    <row r="184" spans="1:5" ht="24.75">
      <c r="A184" s="11" t="s">
        <v>237</v>
      </c>
      <c r="B184" s="11" t="s">
        <v>133</v>
      </c>
      <c r="C184" s="11" t="s">
        <v>155</v>
      </c>
      <c r="D184" s="11" t="s">
        <v>505</v>
      </c>
      <c r="E184" s="11">
        <v>9.3462250192769627</v>
      </c>
    </row>
    <row r="185" spans="1:5" ht="24.75">
      <c r="A185" s="11" t="s">
        <v>237</v>
      </c>
      <c r="B185" s="11" t="s">
        <v>133</v>
      </c>
      <c r="C185" s="11" t="s">
        <v>155</v>
      </c>
      <c r="D185" s="11" t="s">
        <v>506</v>
      </c>
      <c r="E185" s="11">
        <v>2.5965910916696791</v>
      </c>
    </row>
    <row r="186" spans="1:5" ht="24.75">
      <c r="A186" s="11" t="s">
        <v>237</v>
      </c>
      <c r="B186" s="11" t="s">
        <v>133</v>
      </c>
      <c r="C186" s="11" t="s">
        <v>155</v>
      </c>
      <c r="D186" s="11" t="s">
        <v>507</v>
      </c>
      <c r="E186" s="11">
        <v>4.7879000072775586</v>
      </c>
    </row>
    <row r="187" spans="1:5" ht="24.75">
      <c r="A187" s="11" t="s">
        <v>237</v>
      </c>
      <c r="B187" s="11" t="s">
        <v>133</v>
      </c>
      <c r="C187" s="11" t="s">
        <v>155</v>
      </c>
      <c r="D187" s="11" t="s">
        <v>372</v>
      </c>
      <c r="E187" s="11">
        <v>4.7879000072775586</v>
      </c>
    </row>
    <row r="188" spans="1:5" ht="24.75">
      <c r="A188" s="11" t="s">
        <v>237</v>
      </c>
      <c r="B188" s="11" t="s">
        <v>133</v>
      </c>
      <c r="C188" s="11" t="s">
        <v>155</v>
      </c>
      <c r="D188" s="11" t="s">
        <v>508</v>
      </c>
      <c r="E188" s="11">
        <v>2.5793245250461334</v>
      </c>
    </row>
    <row r="189" spans="1:5" ht="24.75">
      <c r="A189" s="11" t="s">
        <v>237</v>
      </c>
      <c r="B189" s="11" t="s">
        <v>133</v>
      </c>
      <c r="C189" s="11" t="s">
        <v>155</v>
      </c>
      <c r="D189" s="11" t="s">
        <v>509</v>
      </c>
      <c r="E189" s="11">
        <v>4.7879000072775586</v>
      </c>
    </row>
    <row r="190" spans="1:5" ht="24.75">
      <c r="A190" s="11" t="s">
        <v>237</v>
      </c>
      <c r="B190" s="11" t="s">
        <v>133</v>
      </c>
      <c r="C190" s="11" t="s">
        <v>155</v>
      </c>
      <c r="D190" s="11" t="s">
        <v>510</v>
      </c>
      <c r="E190" s="11">
        <v>0.1639395415466911</v>
      </c>
    </row>
    <row r="191" spans="1:5" ht="24.75">
      <c r="A191" s="11" t="s">
        <v>237</v>
      </c>
      <c r="B191" s="11" t="s">
        <v>133</v>
      </c>
      <c r="C191" s="11" t="s">
        <v>155</v>
      </c>
      <c r="D191" s="11" t="s">
        <v>511</v>
      </c>
      <c r="E191" s="11">
        <v>0.72936960132515982</v>
      </c>
    </row>
    <row r="192" spans="1:5" ht="24.75">
      <c r="A192" s="11" t="s">
        <v>237</v>
      </c>
      <c r="B192" s="11" t="s">
        <v>133</v>
      </c>
      <c r="C192" s="11" t="s">
        <v>155</v>
      </c>
      <c r="D192" s="11" t="s">
        <v>512</v>
      </c>
      <c r="E192" s="11">
        <v>0.16100863247310812</v>
      </c>
    </row>
    <row r="193" spans="1:5" ht="24.75">
      <c r="A193" s="11" t="s">
        <v>237</v>
      </c>
      <c r="B193" s="11" t="s">
        <v>133</v>
      </c>
      <c r="C193" s="11" t="s">
        <v>155</v>
      </c>
      <c r="D193" s="11" t="s">
        <v>513</v>
      </c>
      <c r="E193" s="11">
        <v>0.72936960132465101</v>
      </c>
    </row>
    <row r="194" spans="1:5" ht="24.75">
      <c r="A194" s="11" t="s">
        <v>237</v>
      </c>
      <c r="B194" s="11" t="s">
        <v>133</v>
      </c>
      <c r="C194" s="11" t="s">
        <v>155</v>
      </c>
      <c r="D194" s="11" t="s">
        <v>514</v>
      </c>
      <c r="E194" s="11">
        <v>0.16393954154668014</v>
      </c>
    </row>
    <row r="195" spans="1:5" ht="24.75">
      <c r="A195" s="11" t="s">
        <v>237</v>
      </c>
      <c r="B195" s="11" t="s">
        <v>133</v>
      </c>
      <c r="C195" s="11" t="s">
        <v>155</v>
      </c>
      <c r="D195" s="11" t="s">
        <v>515</v>
      </c>
      <c r="E195" s="11">
        <v>0.1639496674919165</v>
      </c>
    </row>
    <row r="196" spans="1:5" ht="24.75">
      <c r="A196" s="11" t="s">
        <v>237</v>
      </c>
      <c r="B196" s="11" t="s">
        <v>133</v>
      </c>
      <c r="C196" s="11" t="s">
        <v>155</v>
      </c>
      <c r="D196" s="11" t="s">
        <v>516</v>
      </c>
      <c r="E196" s="11">
        <v>0.68370678498181636</v>
      </c>
    </row>
    <row r="197" spans="1:5" ht="24.75">
      <c r="A197" s="11" t="s">
        <v>237</v>
      </c>
      <c r="B197" s="11" t="s">
        <v>133</v>
      </c>
      <c r="C197" s="11" t="s">
        <v>155</v>
      </c>
      <c r="D197" s="11" t="s">
        <v>517</v>
      </c>
      <c r="E197" s="11">
        <v>0.16394469992742297</v>
      </c>
    </row>
    <row r="198" spans="1:5" ht="24.75">
      <c r="A198" s="11" t="s">
        <v>237</v>
      </c>
      <c r="B198" s="11" t="s">
        <v>133</v>
      </c>
      <c r="C198" s="11" t="s">
        <v>155</v>
      </c>
      <c r="D198" s="11" t="s">
        <v>518</v>
      </c>
      <c r="E198" s="11">
        <v>0.15294500023247742</v>
      </c>
    </row>
    <row r="199" spans="1:5" ht="24.75">
      <c r="A199" s="11" t="s">
        <v>237</v>
      </c>
      <c r="B199" s="11" t="s">
        <v>133</v>
      </c>
      <c r="C199" s="11" t="s">
        <v>155</v>
      </c>
      <c r="D199" s="11" t="s">
        <v>519</v>
      </c>
      <c r="E199" s="11">
        <v>0.16053205081009073</v>
      </c>
    </row>
    <row r="200" spans="1:5" ht="24.75">
      <c r="A200" s="11" t="s">
        <v>237</v>
      </c>
      <c r="B200" s="11" t="s">
        <v>133</v>
      </c>
      <c r="C200" s="11" t="s">
        <v>155</v>
      </c>
      <c r="D200" s="11" t="s">
        <v>520</v>
      </c>
      <c r="E200" s="11">
        <v>8.6450000131333502E-3</v>
      </c>
    </row>
    <row r="201" spans="1:5" ht="24.75">
      <c r="A201" s="11" t="s">
        <v>237</v>
      </c>
      <c r="B201" s="11" t="s">
        <v>133</v>
      </c>
      <c r="C201" s="11" t="s">
        <v>155</v>
      </c>
      <c r="D201" s="11" t="s">
        <v>521</v>
      </c>
      <c r="E201" s="11">
        <v>2.2188069976502272</v>
      </c>
    </row>
    <row r="202" spans="1:5" ht="24.75">
      <c r="A202" s="11" t="s">
        <v>237</v>
      </c>
      <c r="B202" s="11" t="s">
        <v>133</v>
      </c>
      <c r="C202" s="11" t="s">
        <v>155</v>
      </c>
      <c r="D202" s="11" t="s">
        <v>522</v>
      </c>
      <c r="E202" s="11">
        <v>1.5820620375580343</v>
      </c>
    </row>
    <row r="203" spans="1:5" ht="24.75">
      <c r="A203" s="11" t="s">
        <v>237</v>
      </c>
      <c r="B203" s="11" t="s">
        <v>133</v>
      </c>
      <c r="C203" s="11" t="s">
        <v>155</v>
      </c>
      <c r="D203" s="11" t="s">
        <v>523</v>
      </c>
      <c r="E203" s="11">
        <v>0.81789500124318859</v>
      </c>
    </row>
    <row r="204" spans="1:5" ht="24.75">
      <c r="A204" s="11" t="s">
        <v>237</v>
      </c>
      <c r="B204" s="11" t="s">
        <v>133</v>
      </c>
      <c r="C204" s="11" t="s">
        <v>155</v>
      </c>
      <c r="D204" s="11" t="s">
        <v>524</v>
      </c>
      <c r="E204" s="11">
        <v>0.16553711050890943</v>
      </c>
    </row>
    <row r="205" spans="1:5" ht="24.75">
      <c r="A205" s="11" t="s">
        <v>237</v>
      </c>
      <c r="B205" s="11" t="s">
        <v>133</v>
      </c>
      <c r="C205" s="11" t="s">
        <v>155</v>
      </c>
      <c r="D205" s="11" t="s">
        <v>525</v>
      </c>
      <c r="E205" s="11">
        <v>0.13042778399861124</v>
      </c>
    </row>
    <row r="206" spans="1:5" ht="24.75">
      <c r="A206" s="11" t="s">
        <v>237</v>
      </c>
      <c r="B206" s="11" t="s">
        <v>133</v>
      </c>
      <c r="C206" s="11" t="s">
        <v>155</v>
      </c>
      <c r="D206" s="11" t="s">
        <v>526</v>
      </c>
      <c r="E206" s="11">
        <v>2.8597925748955149</v>
      </c>
    </row>
    <row r="207" spans="1:5" ht="24.75">
      <c r="A207" s="11" t="s">
        <v>237</v>
      </c>
      <c r="B207" s="11" t="s">
        <v>133</v>
      </c>
      <c r="C207" s="11" t="s">
        <v>155</v>
      </c>
      <c r="D207" s="11" t="s">
        <v>527</v>
      </c>
      <c r="E207" s="11">
        <v>12.321928260080231</v>
      </c>
    </row>
    <row r="208" spans="1:5" ht="24.75">
      <c r="A208" s="11" t="s">
        <v>237</v>
      </c>
      <c r="B208" s="11" t="s">
        <v>133</v>
      </c>
      <c r="C208" s="11" t="s">
        <v>155</v>
      </c>
      <c r="D208" s="11" t="s">
        <v>528</v>
      </c>
      <c r="E208" s="11">
        <v>14.145950717337845</v>
      </c>
    </row>
    <row r="209" spans="1:5" ht="24.75">
      <c r="A209" s="11" t="s">
        <v>237</v>
      </c>
      <c r="B209" s="11" t="s">
        <v>133</v>
      </c>
      <c r="C209" s="11" t="s">
        <v>155</v>
      </c>
      <c r="D209" s="11" t="s">
        <v>529</v>
      </c>
      <c r="E209" s="11">
        <v>2.8876834081480194</v>
      </c>
    </row>
    <row r="210" spans="1:5" ht="24.75">
      <c r="A210" s="11" t="s">
        <v>237</v>
      </c>
      <c r="B210" s="11" t="s">
        <v>133</v>
      </c>
      <c r="C210" s="11" t="s">
        <v>155</v>
      </c>
      <c r="D210" s="11" t="s">
        <v>530</v>
      </c>
      <c r="E210" s="11">
        <v>0.41325501153908062</v>
      </c>
    </row>
    <row r="211" spans="1:5" ht="24.75">
      <c r="A211" s="11" t="s">
        <v>237</v>
      </c>
      <c r="B211" s="11" t="s">
        <v>133</v>
      </c>
      <c r="C211" s="11" t="s">
        <v>155</v>
      </c>
      <c r="D211" s="11" t="s">
        <v>378</v>
      </c>
      <c r="E211" s="11">
        <v>4.7879000072775586</v>
      </c>
    </row>
    <row r="212" spans="1:5" ht="24.75">
      <c r="A212" s="11" t="s">
        <v>237</v>
      </c>
      <c r="B212" s="11" t="s">
        <v>133</v>
      </c>
      <c r="C212" s="11" t="s">
        <v>155</v>
      </c>
      <c r="D212" s="11" t="s">
        <v>531</v>
      </c>
      <c r="E212" s="11">
        <v>2.5892209006205662</v>
      </c>
    </row>
    <row r="213" spans="1:5" ht="24.75">
      <c r="A213" s="11" t="s">
        <v>237</v>
      </c>
      <c r="B213" s="11" t="s">
        <v>133</v>
      </c>
      <c r="C213" s="11" t="s">
        <v>155</v>
      </c>
      <c r="D213" s="11" t="s">
        <v>532</v>
      </c>
      <c r="E213" s="11">
        <v>27.58626694435323</v>
      </c>
    </row>
    <row r="214" spans="1:5" ht="24.75">
      <c r="A214" s="11" t="s">
        <v>237</v>
      </c>
      <c r="B214" s="11" t="s">
        <v>133</v>
      </c>
      <c r="C214" s="11" t="s">
        <v>155</v>
      </c>
      <c r="D214" s="11" t="s">
        <v>533</v>
      </c>
      <c r="E214" s="11">
        <v>4.5694295636669926</v>
      </c>
    </row>
    <row r="215" spans="1:5" ht="24.75">
      <c r="A215" s="11" t="s">
        <v>237</v>
      </c>
      <c r="B215" s="11" t="s">
        <v>133</v>
      </c>
      <c r="C215" s="11" t="s">
        <v>155</v>
      </c>
      <c r="D215" s="11" t="s">
        <v>534</v>
      </c>
      <c r="E215" s="11">
        <v>0.88534613933337225</v>
      </c>
    </row>
    <row r="216" spans="1:5" ht="24.75">
      <c r="A216" s="11" t="s">
        <v>237</v>
      </c>
      <c r="B216" s="11" t="s">
        <v>133</v>
      </c>
      <c r="C216" s="11" t="s">
        <v>155</v>
      </c>
      <c r="D216" s="11" t="s">
        <v>535</v>
      </c>
      <c r="E216" s="11">
        <v>1.7706922786667525</v>
      </c>
    </row>
    <row r="217" spans="1:5" ht="24.75">
      <c r="A217" s="11" t="s">
        <v>237</v>
      </c>
      <c r="B217" s="11" t="s">
        <v>133</v>
      </c>
      <c r="C217" s="11" t="s">
        <v>155</v>
      </c>
      <c r="D217" s="11" t="s">
        <v>536</v>
      </c>
      <c r="E217" s="11">
        <v>2.6560384180001084</v>
      </c>
    </row>
    <row r="218" spans="1:5" ht="24.75">
      <c r="A218" s="11" t="s">
        <v>237</v>
      </c>
      <c r="B218" s="11" t="s">
        <v>133</v>
      </c>
      <c r="C218" s="11" t="s">
        <v>155</v>
      </c>
      <c r="D218" s="11" t="s">
        <v>537</v>
      </c>
      <c r="E218" s="11">
        <v>2.5507179669276416</v>
      </c>
    </row>
    <row r="219" spans="1:5" ht="24.75">
      <c r="A219" s="11" t="s">
        <v>237</v>
      </c>
      <c r="B219" s="11" t="s">
        <v>133</v>
      </c>
      <c r="C219" s="11" t="s">
        <v>155</v>
      </c>
      <c r="D219" s="11" t="s">
        <v>538</v>
      </c>
      <c r="E219" s="11">
        <v>24.375246988381679</v>
      </c>
    </row>
    <row r="220" spans="1:5" ht="24.75">
      <c r="A220" s="11" t="s">
        <v>237</v>
      </c>
      <c r="B220" s="11" t="s">
        <v>133</v>
      </c>
      <c r="C220" s="11" t="s">
        <v>155</v>
      </c>
      <c r="D220" s="11" t="s">
        <v>539</v>
      </c>
      <c r="E220" s="11">
        <v>1.8336555588104264</v>
      </c>
    </row>
    <row r="221" spans="1:5" ht="24.75">
      <c r="A221" s="11" t="s">
        <v>237</v>
      </c>
      <c r="B221" s="11" t="s">
        <v>133</v>
      </c>
      <c r="C221" s="11" t="s">
        <v>155</v>
      </c>
      <c r="D221" s="11" t="s">
        <v>540</v>
      </c>
      <c r="E221" s="11">
        <v>3.708340840097148</v>
      </c>
    </row>
    <row r="222" spans="1:5" ht="24.75">
      <c r="A222" s="11" t="s">
        <v>237</v>
      </c>
      <c r="B222" s="11" t="s">
        <v>133</v>
      </c>
      <c r="C222" s="11" t="s">
        <v>155</v>
      </c>
      <c r="D222" s="11" t="s">
        <v>541</v>
      </c>
      <c r="E222" s="11">
        <v>32.25154393585165</v>
      </c>
    </row>
    <row r="223" spans="1:5" ht="24.75">
      <c r="A223" s="11" t="s">
        <v>237</v>
      </c>
      <c r="B223" s="11" t="s">
        <v>133</v>
      </c>
      <c r="C223" s="11" t="s">
        <v>155</v>
      </c>
      <c r="D223" s="11" t="s">
        <v>542</v>
      </c>
      <c r="E223" s="11">
        <v>0.16900000025685702</v>
      </c>
    </row>
    <row r="224" spans="1:5" ht="24.75">
      <c r="A224" s="11" t="s">
        <v>237</v>
      </c>
      <c r="B224" s="11" t="s">
        <v>133</v>
      </c>
      <c r="C224" s="11" t="s">
        <v>155</v>
      </c>
      <c r="D224" s="11" t="s">
        <v>543</v>
      </c>
      <c r="E224" s="11">
        <v>2.2011600033457133</v>
      </c>
    </row>
    <row r="225" spans="1:5" ht="24.75">
      <c r="A225" s="11" t="s">
        <v>237</v>
      </c>
      <c r="B225" s="11" t="s">
        <v>133</v>
      </c>
      <c r="C225" s="11" t="s">
        <v>155</v>
      </c>
      <c r="D225" s="11" t="s">
        <v>544</v>
      </c>
      <c r="E225" s="11">
        <v>4.9179000074751578</v>
      </c>
    </row>
    <row r="226" spans="1:5" ht="24.75">
      <c r="A226" s="11" t="s">
        <v>237</v>
      </c>
      <c r="B226" s="11" t="s">
        <v>133</v>
      </c>
      <c r="C226" s="11" t="s">
        <v>155</v>
      </c>
      <c r="D226" s="11" t="s">
        <v>545</v>
      </c>
      <c r="E226" s="11">
        <v>3.5230357554642846</v>
      </c>
    </row>
    <row r="227" spans="1:5" ht="24.75">
      <c r="A227" s="11" t="s">
        <v>237</v>
      </c>
      <c r="B227" s="11" t="s">
        <v>133</v>
      </c>
      <c r="C227" s="11" t="s">
        <v>155</v>
      </c>
      <c r="D227" s="11" t="s">
        <v>546</v>
      </c>
      <c r="E227" s="11">
        <v>27.278607661892082</v>
      </c>
    </row>
    <row r="228" spans="1:5" ht="24.75">
      <c r="A228" s="11" t="s">
        <v>237</v>
      </c>
      <c r="B228" s="11" t="s">
        <v>133</v>
      </c>
      <c r="C228" s="11" t="s">
        <v>155</v>
      </c>
      <c r="D228" s="11" t="s">
        <v>547</v>
      </c>
      <c r="E228" s="11">
        <v>9.256023484372547E-2</v>
      </c>
    </row>
    <row r="229" spans="1:5" ht="24.75">
      <c r="A229" s="11" t="s">
        <v>237</v>
      </c>
      <c r="B229" s="11" t="s">
        <v>133</v>
      </c>
      <c r="C229" s="11" t="s">
        <v>155</v>
      </c>
      <c r="D229" s="11" t="s">
        <v>548</v>
      </c>
      <c r="E229" s="11">
        <v>6.1315385333031784</v>
      </c>
    </row>
    <row r="230" spans="1:5" ht="24.75">
      <c r="A230" s="11" t="s">
        <v>237</v>
      </c>
      <c r="B230" s="11" t="s">
        <v>133</v>
      </c>
      <c r="C230" s="11" t="s">
        <v>155</v>
      </c>
      <c r="D230" s="11" t="s">
        <v>549</v>
      </c>
      <c r="E230" s="11">
        <v>1.2743607190187383</v>
      </c>
    </row>
    <row r="231" spans="1:5" ht="24.75">
      <c r="A231" s="11" t="s">
        <v>237</v>
      </c>
      <c r="B231" s="11" t="s">
        <v>133</v>
      </c>
      <c r="C231" s="11" t="s">
        <v>155</v>
      </c>
      <c r="D231" s="11" t="s">
        <v>550</v>
      </c>
      <c r="E231" s="11">
        <v>9.2560000140692614E-2</v>
      </c>
    </row>
    <row r="232" spans="1:5" ht="24.75">
      <c r="A232" s="11" t="s">
        <v>237</v>
      </c>
      <c r="B232" s="11" t="s">
        <v>133</v>
      </c>
      <c r="C232" s="11" t="s">
        <v>155</v>
      </c>
      <c r="D232" s="11" t="s">
        <v>551</v>
      </c>
      <c r="E232" s="11">
        <v>5.7452290453061785</v>
      </c>
    </row>
    <row r="233" spans="1:5" ht="24.75">
      <c r="A233" s="11" t="s">
        <v>237</v>
      </c>
      <c r="B233" s="11" t="s">
        <v>133</v>
      </c>
      <c r="C233" s="11" t="s">
        <v>155</v>
      </c>
      <c r="D233" s="11" t="s">
        <v>552</v>
      </c>
      <c r="E233" s="11">
        <v>0.16637112321224012</v>
      </c>
    </row>
    <row r="234" spans="1:5" ht="24.75">
      <c r="A234" s="11" t="s">
        <v>237</v>
      </c>
      <c r="B234" s="11" t="s">
        <v>133</v>
      </c>
      <c r="C234" s="11" t="s">
        <v>155</v>
      </c>
      <c r="D234" s="11" t="s">
        <v>553</v>
      </c>
      <c r="E234" s="11">
        <v>4.7512334403466356</v>
      </c>
    </row>
    <row r="235" spans="1:5" ht="24.75">
      <c r="A235" s="11" t="s">
        <v>237</v>
      </c>
      <c r="B235" s="11" t="s">
        <v>133</v>
      </c>
      <c r="C235" s="11" t="s">
        <v>155</v>
      </c>
      <c r="D235" s="11" t="s">
        <v>554</v>
      </c>
      <c r="E235" s="11">
        <v>0.58593215598722292</v>
      </c>
    </row>
    <row r="236" spans="1:5" ht="24.75">
      <c r="A236" s="11" t="s">
        <v>237</v>
      </c>
      <c r="B236" s="11" t="s">
        <v>133</v>
      </c>
      <c r="C236" s="11" t="s">
        <v>155</v>
      </c>
      <c r="D236" s="11" t="s">
        <v>555</v>
      </c>
      <c r="E236" s="11">
        <v>0.22547184320618421</v>
      </c>
    </row>
    <row r="237" spans="1:5" ht="24.75">
      <c r="A237" s="11" t="s">
        <v>237</v>
      </c>
      <c r="B237" s="11" t="s">
        <v>133</v>
      </c>
      <c r="C237" s="11" t="s">
        <v>155</v>
      </c>
      <c r="D237" s="11" t="s">
        <v>556</v>
      </c>
      <c r="E237" s="11">
        <v>6.7672596732362047</v>
      </c>
    </row>
    <row r="238" spans="1:5" ht="24.75">
      <c r="A238" s="11" t="s">
        <v>237</v>
      </c>
      <c r="B238" s="11" t="s">
        <v>133</v>
      </c>
      <c r="C238" s="11" t="s">
        <v>155</v>
      </c>
      <c r="D238" s="11" t="s">
        <v>557</v>
      </c>
      <c r="E238" s="11">
        <v>0.8365594222356334</v>
      </c>
    </row>
    <row r="239" spans="1:5" ht="24.75">
      <c r="A239" s="11" t="s">
        <v>237</v>
      </c>
      <c r="B239" s="11" t="s">
        <v>133</v>
      </c>
      <c r="C239" s="11" t="s">
        <v>155</v>
      </c>
      <c r="D239" s="11" t="s">
        <v>558</v>
      </c>
      <c r="E239" s="11">
        <v>0.22249500033820641</v>
      </c>
    </row>
    <row r="240" spans="1:5" ht="24.75">
      <c r="A240" s="11" t="s">
        <v>237</v>
      </c>
      <c r="B240" s="11" t="s">
        <v>133</v>
      </c>
      <c r="C240" s="11" t="s">
        <v>155</v>
      </c>
      <c r="D240" s="11" t="s">
        <v>559</v>
      </c>
      <c r="E240" s="11">
        <v>0.22672011682461463</v>
      </c>
    </row>
    <row r="241" spans="1:5" ht="24.75">
      <c r="A241" s="11" t="s">
        <v>237</v>
      </c>
      <c r="B241" s="11" t="s">
        <v>133</v>
      </c>
      <c r="C241" s="11" t="s">
        <v>155</v>
      </c>
      <c r="D241" s="11" t="s">
        <v>560</v>
      </c>
      <c r="E241" s="11">
        <v>0.64977214574141573</v>
      </c>
    </row>
    <row r="242" spans="1:5" ht="24.75">
      <c r="A242" s="11" t="s">
        <v>237</v>
      </c>
      <c r="B242" s="11" t="s">
        <v>133</v>
      </c>
      <c r="C242" s="11" t="s">
        <v>155</v>
      </c>
      <c r="D242" s="11" t="s">
        <v>561</v>
      </c>
      <c r="E242" s="11">
        <v>0.2295920412253909</v>
      </c>
    </row>
    <row r="243" spans="1:5" ht="24.75">
      <c r="A243" s="11" t="s">
        <v>237</v>
      </c>
      <c r="B243" s="11" t="s">
        <v>133</v>
      </c>
      <c r="C243" s="11" t="s">
        <v>155</v>
      </c>
      <c r="D243" s="11" t="s">
        <v>562</v>
      </c>
      <c r="E243" s="11">
        <v>0.17711870423311546</v>
      </c>
    </row>
    <row r="244" spans="1:5" ht="24.75">
      <c r="A244" s="11" t="s">
        <v>237</v>
      </c>
      <c r="B244" s="11" t="s">
        <v>133</v>
      </c>
      <c r="C244" s="11" t="s">
        <v>155</v>
      </c>
      <c r="D244" s="11" t="s">
        <v>563</v>
      </c>
      <c r="E244" s="11">
        <v>0.2267201168246176</v>
      </c>
    </row>
    <row r="245" spans="1:5" ht="24.75">
      <c r="A245" s="11" t="s">
        <v>237</v>
      </c>
      <c r="B245" s="11" t="s">
        <v>133</v>
      </c>
      <c r="C245" s="11" t="s">
        <v>155</v>
      </c>
      <c r="D245" s="11" t="s">
        <v>564</v>
      </c>
      <c r="E245" s="11">
        <v>6.5524338990240105</v>
      </c>
    </row>
    <row r="246" spans="1:5" ht="24.75">
      <c r="A246" s="11" t="s">
        <v>237</v>
      </c>
      <c r="B246" s="11" t="s">
        <v>133</v>
      </c>
      <c r="C246" s="11" t="s">
        <v>155</v>
      </c>
      <c r="D246" s="11" t="s">
        <v>565</v>
      </c>
      <c r="E246" s="11">
        <v>3.5619314603178558</v>
      </c>
    </row>
    <row r="247" spans="1:5" ht="24.75">
      <c r="A247" s="11" t="s">
        <v>237</v>
      </c>
      <c r="B247" s="11" t="s">
        <v>133</v>
      </c>
      <c r="C247" s="11" t="s">
        <v>155</v>
      </c>
      <c r="D247" s="11" t="s">
        <v>566</v>
      </c>
      <c r="E247" s="11">
        <v>1.7680000026873701</v>
      </c>
    </row>
    <row r="248" spans="1:5" ht="24.75">
      <c r="A248" s="11" t="s">
        <v>237</v>
      </c>
      <c r="B248" s="11" t="s">
        <v>133</v>
      </c>
      <c r="C248" s="11" t="s">
        <v>155</v>
      </c>
      <c r="D248" s="11" t="s">
        <v>567</v>
      </c>
      <c r="E248" s="11">
        <v>0.64685505251109576</v>
      </c>
    </row>
    <row r="249" spans="1:5" ht="24.75">
      <c r="A249" s="11" t="s">
        <v>237</v>
      </c>
      <c r="B249" s="11" t="s">
        <v>133</v>
      </c>
      <c r="C249" s="11" t="s">
        <v>155</v>
      </c>
      <c r="D249" s="11" t="s">
        <v>568</v>
      </c>
      <c r="E249" s="11">
        <v>0.22672011682461862</v>
      </c>
    </row>
    <row r="250" spans="1:5" ht="24.75">
      <c r="A250" s="11" t="s">
        <v>237</v>
      </c>
      <c r="B250" s="11" t="s">
        <v>133</v>
      </c>
      <c r="C250" s="11" t="s">
        <v>155</v>
      </c>
      <c r="D250" s="11" t="s">
        <v>569</v>
      </c>
      <c r="E250" s="11">
        <v>0.64165505250318677</v>
      </c>
    </row>
    <row r="251" spans="1:5" ht="24.75">
      <c r="A251" s="11" t="s">
        <v>237</v>
      </c>
      <c r="B251" s="11" t="s">
        <v>133</v>
      </c>
      <c r="C251" s="11" t="s">
        <v>155</v>
      </c>
      <c r="D251" s="11" t="s">
        <v>570</v>
      </c>
      <c r="E251" s="11">
        <v>0.22672011682462062</v>
      </c>
    </row>
    <row r="252" spans="1:5" ht="24.75">
      <c r="A252" s="11" t="s">
        <v>237</v>
      </c>
      <c r="B252" s="11" t="s">
        <v>133</v>
      </c>
      <c r="C252" s="11" t="s">
        <v>155</v>
      </c>
      <c r="D252" s="11" t="s">
        <v>571</v>
      </c>
      <c r="E252" s="11">
        <v>0.64165505250317267</v>
      </c>
    </row>
    <row r="253" spans="1:5" ht="24.75">
      <c r="A253" s="11" t="s">
        <v>237</v>
      </c>
      <c r="B253" s="11" t="s">
        <v>133</v>
      </c>
      <c r="C253" s="11" t="s">
        <v>155</v>
      </c>
      <c r="D253" s="11" t="s">
        <v>572</v>
      </c>
      <c r="E253" s="11">
        <v>0.29172000044340041</v>
      </c>
    </row>
    <row r="254" spans="1:5" ht="24.75">
      <c r="A254" s="11" t="s">
        <v>237</v>
      </c>
      <c r="B254" s="11" t="s">
        <v>133</v>
      </c>
      <c r="C254" s="11" t="s">
        <v>155</v>
      </c>
      <c r="D254" s="11" t="s">
        <v>573</v>
      </c>
      <c r="E254" s="11">
        <v>0.17806148020892748</v>
      </c>
    </row>
    <row r="255" spans="1:5" ht="24.75">
      <c r="A255" s="11" t="s">
        <v>237</v>
      </c>
      <c r="B255" s="11" t="s">
        <v>133</v>
      </c>
      <c r="C255" s="11" t="s">
        <v>155</v>
      </c>
      <c r="D255" s="11" t="s">
        <v>574</v>
      </c>
      <c r="E255" s="11">
        <v>0.2267201168246176</v>
      </c>
    </row>
    <row r="256" spans="1:5" ht="24.75">
      <c r="A256" s="11" t="s">
        <v>237</v>
      </c>
      <c r="B256" s="11" t="s">
        <v>133</v>
      </c>
      <c r="C256" s="11" t="s">
        <v>155</v>
      </c>
      <c r="D256" s="11" t="s">
        <v>575</v>
      </c>
      <c r="E256" s="11">
        <v>2.252731391435522</v>
      </c>
    </row>
    <row r="257" spans="1:5" ht="24.75">
      <c r="A257" s="11" t="s">
        <v>237</v>
      </c>
      <c r="B257" s="11" t="s">
        <v>133</v>
      </c>
      <c r="C257" s="11" t="s">
        <v>155</v>
      </c>
      <c r="D257" s="11" t="s">
        <v>576</v>
      </c>
      <c r="E257" s="11">
        <v>0.18565806038692029</v>
      </c>
    </row>
    <row r="258" spans="1:5" ht="24.75">
      <c r="A258" s="11" t="s">
        <v>237</v>
      </c>
      <c r="B258" s="11" t="s">
        <v>133</v>
      </c>
      <c r="C258" s="11" t="s">
        <v>155</v>
      </c>
      <c r="D258" s="11" t="s">
        <v>577</v>
      </c>
      <c r="E258" s="11">
        <v>3.326937328411335</v>
      </c>
    </row>
    <row r="259" spans="1:5" ht="24.75">
      <c r="A259" s="11" t="s">
        <v>237</v>
      </c>
      <c r="B259" s="11" t="s">
        <v>133</v>
      </c>
      <c r="C259" s="11" t="s">
        <v>155</v>
      </c>
      <c r="D259" s="11" t="s">
        <v>578</v>
      </c>
      <c r="E259" s="11">
        <v>4.6579000070799585</v>
      </c>
    </row>
    <row r="260" spans="1:5" ht="24.75">
      <c r="A260" s="11" t="s">
        <v>237</v>
      </c>
      <c r="B260" s="11" t="s">
        <v>133</v>
      </c>
      <c r="C260" s="11" t="s">
        <v>155</v>
      </c>
      <c r="D260" s="11" t="s">
        <v>579</v>
      </c>
      <c r="E260" s="11">
        <v>3.8968041654077723</v>
      </c>
    </row>
    <row r="261" spans="1:5" ht="24.75">
      <c r="A261" s="11" t="s">
        <v>237</v>
      </c>
      <c r="B261" s="11" t="s">
        <v>133</v>
      </c>
      <c r="C261" s="11" t="s">
        <v>155</v>
      </c>
      <c r="D261" s="11" t="s">
        <v>580</v>
      </c>
      <c r="E261" s="11">
        <v>0.48682529972959449</v>
      </c>
    </row>
    <row r="262" spans="1:5" ht="24.75">
      <c r="A262" s="11" t="s">
        <v>237</v>
      </c>
      <c r="B262" s="11" t="s">
        <v>133</v>
      </c>
      <c r="C262" s="11" t="s">
        <v>155</v>
      </c>
      <c r="D262" s="11" t="s">
        <v>581</v>
      </c>
      <c r="E262" s="11">
        <v>1.5035385262686187</v>
      </c>
    </row>
    <row r="263" spans="1:5" ht="24.75">
      <c r="A263" s="11" t="s">
        <v>237</v>
      </c>
      <c r="B263" s="11" t="s">
        <v>133</v>
      </c>
      <c r="C263" s="11" t="s">
        <v>155</v>
      </c>
      <c r="D263" s="11" t="s">
        <v>582</v>
      </c>
      <c r="E263" s="11">
        <v>0.35535216076100834</v>
      </c>
    </row>
    <row r="264" spans="1:5" ht="24.75">
      <c r="A264" s="11" t="s">
        <v>237</v>
      </c>
      <c r="B264" s="11" t="s">
        <v>133</v>
      </c>
      <c r="C264" s="11" t="s">
        <v>155</v>
      </c>
      <c r="D264" s="11" t="s">
        <v>583</v>
      </c>
      <c r="E264" s="11">
        <v>2.5590996149487717</v>
      </c>
    </row>
    <row r="265" spans="1:5" ht="24.75">
      <c r="A265" s="11" t="s">
        <v>237</v>
      </c>
      <c r="B265" s="11" t="s">
        <v>133</v>
      </c>
      <c r="C265" s="11" t="s">
        <v>155</v>
      </c>
      <c r="D265" s="11" t="s">
        <v>584</v>
      </c>
      <c r="E265" s="11">
        <v>12.831780485424408</v>
      </c>
    </row>
    <row r="266" spans="1:5" ht="24.75">
      <c r="A266" s="11" t="s">
        <v>237</v>
      </c>
      <c r="B266" s="11" t="s">
        <v>133</v>
      </c>
      <c r="C266" s="11" t="s">
        <v>155</v>
      </c>
      <c r="D266" s="11" t="s">
        <v>585</v>
      </c>
      <c r="E266" s="11">
        <v>4.4871548984598855</v>
      </c>
    </row>
    <row r="267" spans="1:5" ht="24.75">
      <c r="A267" s="11" t="s">
        <v>237</v>
      </c>
      <c r="B267" s="11" t="s">
        <v>133</v>
      </c>
      <c r="C267" s="11" t="s">
        <v>155</v>
      </c>
      <c r="D267" s="11" t="s">
        <v>586</v>
      </c>
      <c r="E267" s="11">
        <v>2.0699210186471402</v>
      </c>
    </row>
    <row r="268" spans="1:5" ht="24.75">
      <c r="A268" s="11" t="s">
        <v>237</v>
      </c>
      <c r="B268" s="11" t="s">
        <v>133</v>
      </c>
      <c r="C268" s="11" t="s">
        <v>155</v>
      </c>
      <c r="D268" s="11" t="s">
        <v>587</v>
      </c>
      <c r="E268" s="11">
        <v>27.289262961729285</v>
      </c>
    </row>
    <row r="269" spans="1:5" ht="24.75">
      <c r="A269" s="11" t="s">
        <v>237</v>
      </c>
      <c r="B269" s="11" t="s">
        <v>133</v>
      </c>
      <c r="C269" s="11" t="s">
        <v>155</v>
      </c>
      <c r="D269" s="11" t="s">
        <v>588</v>
      </c>
      <c r="E269" s="11">
        <v>30.005753065927447</v>
      </c>
    </row>
    <row r="270" spans="1:5" ht="24.75">
      <c r="A270" s="11" t="s">
        <v>237</v>
      </c>
      <c r="B270" s="11" t="s">
        <v>133</v>
      </c>
      <c r="C270" s="11" t="s">
        <v>155</v>
      </c>
      <c r="D270" s="11" t="s">
        <v>589</v>
      </c>
      <c r="E270" s="11">
        <v>0.15067000022901442</v>
      </c>
    </row>
    <row r="271" spans="1:5" ht="24.75">
      <c r="A271" s="11" t="s">
        <v>237</v>
      </c>
      <c r="B271" s="11" t="s">
        <v>133</v>
      </c>
      <c r="C271" s="11" t="s">
        <v>155</v>
      </c>
      <c r="D271" s="11" t="s">
        <v>590</v>
      </c>
      <c r="E271" s="11">
        <v>3.0313400046076868</v>
      </c>
    </row>
    <row r="272" spans="1:5" ht="24.75">
      <c r="A272" s="11" t="s">
        <v>237</v>
      </c>
      <c r="B272" s="11" t="s">
        <v>133</v>
      </c>
      <c r="C272" s="11" t="s">
        <v>155</v>
      </c>
      <c r="D272" s="11" t="s">
        <v>591</v>
      </c>
      <c r="E272" s="11">
        <v>3.9879227210754529</v>
      </c>
    </row>
    <row r="273" spans="1:5" ht="24.75">
      <c r="A273" s="11" t="s">
        <v>237</v>
      </c>
      <c r="B273" s="11" t="s">
        <v>133</v>
      </c>
      <c r="C273" s="11" t="s">
        <v>155</v>
      </c>
      <c r="D273" s="11" t="s">
        <v>592</v>
      </c>
      <c r="E273" s="11">
        <v>0.16900000025687903</v>
      </c>
    </row>
    <row r="274" spans="1:5" ht="24.75">
      <c r="A274" s="11" t="s">
        <v>237</v>
      </c>
      <c r="B274" s="11" t="s">
        <v>133</v>
      </c>
      <c r="C274" s="11" t="s">
        <v>155</v>
      </c>
      <c r="D274" s="11" t="s">
        <v>593</v>
      </c>
      <c r="E274" s="11">
        <v>4.9179000074751578</v>
      </c>
    </row>
    <row r="275" spans="1:5" ht="24.75">
      <c r="A275" s="11" t="s">
        <v>237</v>
      </c>
      <c r="B275" s="11" t="s">
        <v>133</v>
      </c>
      <c r="C275" s="11" t="s">
        <v>155</v>
      </c>
      <c r="D275" s="11" t="s">
        <v>594</v>
      </c>
      <c r="E275" s="11">
        <v>2.4030750391045346</v>
      </c>
    </row>
    <row r="276" spans="1:5" ht="24.75">
      <c r="A276" s="11" t="s">
        <v>237</v>
      </c>
      <c r="B276" s="11" t="s">
        <v>133</v>
      </c>
      <c r="C276" s="11" t="s">
        <v>155</v>
      </c>
      <c r="D276" s="11" t="s">
        <v>595</v>
      </c>
      <c r="E276" s="11">
        <v>0.16900000025688403</v>
      </c>
    </row>
    <row r="277" spans="1:5" ht="24.75">
      <c r="A277" s="11" t="s">
        <v>237</v>
      </c>
      <c r="B277" s="11" t="s">
        <v>133</v>
      </c>
      <c r="C277" s="11" t="s">
        <v>155</v>
      </c>
      <c r="D277" s="11" t="s">
        <v>596</v>
      </c>
      <c r="E277" s="11">
        <v>2.5892209006205662</v>
      </c>
    </row>
    <row r="278" spans="1:5" ht="24.75">
      <c r="A278" s="11" t="s">
        <v>237</v>
      </c>
      <c r="B278" s="11" t="s">
        <v>133</v>
      </c>
      <c r="C278" s="11" t="s">
        <v>155</v>
      </c>
      <c r="D278" s="11" t="s">
        <v>398</v>
      </c>
      <c r="E278" s="11">
        <v>4.7879000072775586</v>
      </c>
    </row>
    <row r="279" spans="1:5" ht="24.75">
      <c r="A279" s="11" t="s">
        <v>237</v>
      </c>
      <c r="B279" s="11" t="s">
        <v>133</v>
      </c>
      <c r="C279" s="11" t="s">
        <v>155</v>
      </c>
      <c r="D279" s="11" t="s">
        <v>597</v>
      </c>
      <c r="E279" s="11">
        <v>27.36986344513199</v>
      </c>
    </row>
    <row r="280" spans="1:5" ht="24.75">
      <c r="A280" s="11" t="s">
        <v>237</v>
      </c>
      <c r="B280" s="11" t="s">
        <v>133</v>
      </c>
      <c r="C280" s="11" t="s">
        <v>155</v>
      </c>
      <c r="D280" s="11" t="s">
        <v>598</v>
      </c>
      <c r="E280" s="11">
        <v>4.3546155785688052</v>
      </c>
    </row>
    <row r="281" spans="1:5" ht="24.75">
      <c r="A281" s="11" t="s">
        <v>237</v>
      </c>
      <c r="B281" s="11" t="s">
        <v>133</v>
      </c>
      <c r="C281" s="11" t="s">
        <v>155</v>
      </c>
      <c r="D281" s="11" t="s">
        <v>599</v>
      </c>
      <c r="E281" s="11">
        <v>1.2383450401064746</v>
      </c>
    </row>
    <row r="282" spans="1:5" ht="24.75">
      <c r="A282" s="11" t="s">
        <v>237</v>
      </c>
      <c r="B282" s="11" t="s">
        <v>133</v>
      </c>
      <c r="C282" s="11" t="s">
        <v>155</v>
      </c>
      <c r="D282" s="11" t="s">
        <v>600</v>
      </c>
      <c r="E282" s="11">
        <v>0.15067000022901442</v>
      </c>
    </row>
    <row r="283" spans="1:5" ht="24.75">
      <c r="A283" s="11" t="s">
        <v>237</v>
      </c>
      <c r="B283" s="11" t="s">
        <v>133</v>
      </c>
      <c r="C283" s="11" t="s">
        <v>155</v>
      </c>
      <c r="D283" s="11" t="s">
        <v>601</v>
      </c>
      <c r="E283" s="11">
        <v>3.5475012724590727</v>
      </c>
    </row>
    <row r="284" spans="1:5" ht="24.75">
      <c r="A284" s="11" t="s">
        <v>237</v>
      </c>
      <c r="B284" s="11" t="s">
        <v>133</v>
      </c>
      <c r="C284" s="11" t="s">
        <v>155</v>
      </c>
      <c r="D284" s="11" t="s">
        <v>602</v>
      </c>
      <c r="E284" s="11">
        <v>5.7918456361139059</v>
      </c>
    </row>
    <row r="285" spans="1:5" ht="24.75">
      <c r="A285" s="11" t="s">
        <v>237</v>
      </c>
      <c r="B285" s="11" t="s">
        <v>133</v>
      </c>
      <c r="C285" s="11" t="s">
        <v>155</v>
      </c>
      <c r="D285" s="11" t="s">
        <v>603</v>
      </c>
      <c r="E285" s="11">
        <v>0.15067000022901442</v>
      </c>
    </row>
    <row r="286" spans="1:5" ht="24.75">
      <c r="A286" s="11" t="s">
        <v>237</v>
      </c>
      <c r="B286" s="11" t="s">
        <v>133</v>
      </c>
      <c r="C286" s="11" t="s">
        <v>155</v>
      </c>
      <c r="D286" s="11" t="s">
        <v>604</v>
      </c>
      <c r="E286" s="11">
        <v>3.8079799147103599</v>
      </c>
    </row>
    <row r="287" spans="1:5" ht="24.75">
      <c r="A287" s="11" t="s">
        <v>237</v>
      </c>
      <c r="B287" s="11" t="s">
        <v>133</v>
      </c>
      <c r="C287" s="11" t="s">
        <v>155</v>
      </c>
      <c r="D287" s="11" t="s">
        <v>605</v>
      </c>
      <c r="E287" s="11">
        <v>5.4327283802227271</v>
      </c>
    </row>
    <row r="288" spans="1:5" ht="24.75">
      <c r="A288" s="11" t="s">
        <v>237</v>
      </c>
      <c r="B288" s="11" t="s">
        <v>133</v>
      </c>
      <c r="C288" s="11" t="s">
        <v>155</v>
      </c>
      <c r="D288" s="11" t="s">
        <v>606</v>
      </c>
      <c r="E288" s="11">
        <v>0.15067000022901442</v>
      </c>
    </row>
    <row r="289" spans="1:5" ht="24.75">
      <c r="A289" s="11" t="s">
        <v>237</v>
      </c>
      <c r="B289" s="11" t="s">
        <v>133</v>
      </c>
      <c r="C289" s="11" t="s">
        <v>155</v>
      </c>
      <c r="D289" s="11" t="s">
        <v>607</v>
      </c>
      <c r="E289" s="11">
        <v>4.3257058135386028</v>
      </c>
    </row>
    <row r="290" spans="1:5" ht="24.75">
      <c r="A290" s="11" t="s">
        <v>237</v>
      </c>
      <c r="B290" s="11" t="s">
        <v>133</v>
      </c>
      <c r="C290" s="11" t="s">
        <v>155</v>
      </c>
      <c r="D290" s="11" t="s">
        <v>608</v>
      </c>
      <c r="E290" s="11">
        <v>0.90554386501862871</v>
      </c>
    </row>
    <row r="291" spans="1:5" ht="24.75">
      <c r="A291" s="11" t="s">
        <v>237</v>
      </c>
      <c r="B291" s="11" t="s">
        <v>133</v>
      </c>
      <c r="C291" s="11" t="s">
        <v>155</v>
      </c>
      <c r="D291" s="11" t="s">
        <v>609</v>
      </c>
      <c r="E291" s="11">
        <v>0.15067000022901442</v>
      </c>
    </row>
    <row r="292" spans="1:5" ht="24.75">
      <c r="A292" s="11" t="s">
        <v>237</v>
      </c>
      <c r="B292" s="11" t="s">
        <v>133</v>
      </c>
      <c r="C292" s="11" t="s">
        <v>155</v>
      </c>
      <c r="D292" s="11" t="s">
        <v>610</v>
      </c>
      <c r="E292" s="11">
        <v>3.0833461937005167</v>
      </c>
    </row>
    <row r="293" spans="1:5" ht="24.75">
      <c r="A293" s="11" t="s">
        <v>237</v>
      </c>
      <c r="B293" s="11" t="s">
        <v>133</v>
      </c>
      <c r="C293" s="11" t="s">
        <v>155</v>
      </c>
      <c r="D293" s="11" t="s">
        <v>611</v>
      </c>
      <c r="E293" s="11">
        <v>4.19736185456863</v>
      </c>
    </row>
    <row r="294" spans="1:5" ht="24.75">
      <c r="A294" s="11" t="s">
        <v>237</v>
      </c>
      <c r="B294" s="11" t="s">
        <v>133</v>
      </c>
      <c r="C294" s="11" t="s">
        <v>155</v>
      </c>
      <c r="D294" s="11" t="s">
        <v>612</v>
      </c>
      <c r="E294" s="11">
        <v>7.1640220393668144E-2</v>
      </c>
    </row>
    <row r="295" spans="1:5" ht="24.75">
      <c r="A295" s="11" t="s">
        <v>237</v>
      </c>
      <c r="B295" s="11" t="s">
        <v>133</v>
      </c>
      <c r="C295" s="11" t="s">
        <v>155</v>
      </c>
      <c r="D295" s="11" t="s">
        <v>613</v>
      </c>
      <c r="E295" s="11">
        <v>0.15978853687509362</v>
      </c>
    </row>
    <row r="296" spans="1:5" ht="24.75">
      <c r="A296" s="11" t="s">
        <v>237</v>
      </c>
      <c r="B296" s="11" t="s">
        <v>133</v>
      </c>
      <c r="C296" s="11" t="s">
        <v>155</v>
      </c>
      <c r="D296" s="11" t="s">
        <v>614</v>
      </c>
      <c r="E296" s="11">
        <v>5.6617761803892801</v>
      </c>
    </row>
    <row r="297" spans="1:5" ht="24.75">
      <c r="A297" s="11" t="s">
        <v>237</v>
      </c>
      <c r="B297" s="11" t="s">
        <v>133</v>
      </c>
      <c r="C297" s="11" t="s">
        <v>155</v>
      </c>
      <c r="D297" s="11" t="s">
        <v>615</v>
      </c>
      <c r="E297" s="11">
        <v>0.15978834211180631</v>
      </c>
    </row>
    <row r="298" spans="1:5" ht="24.75">
      <c r="A298" s="11" t="s">
        <v>237</v>
      </c>
      <c r="B298" s="11" t="s">
        <v>133</v>
      </c>
      <c r="C298" s="11" t="s">
        <v>155</v>
      </c>
      <c r="D298" s="11" t="s">
        <v>616</v>
      </c>
      <c r="E298" s="11">
        <v>3.9237804350853769</v>
      </c>
    </row>
    <row r="299" spans="1:5" ht="24.75">
      <c r="A299" s="11" t="s">
        <v>237</v>
      </c>
      <c r="B299" s="11" t="s">
        <v>133</v>
      </c>
      <c r="C299" s="11" t="s">
        <v>155</v>
      </c>
      <c r="D299" s="11" t="s">
        <v>617</v>
      </c>
      <c r="E299" s="11">
        <v>4.120807019705687</v>
      </c>
    </row>
    <row r="300" spans="1:5" ht="24.75">
      <c r="A300" s="11" t="s">
        <v>237</v>
      </c>
      <c r="B300" s="11" t="s">
        <v>133</v>
      </c>
      <c r="C300" s="11" t="s">
        <v>155</v>
      </c>
      <c r="D300" s="11" t="s">
        <v>618</v>
      </c>
      <c r="E300" s="11">
        <v>1.6213600024644672</v>
      </c>
    </row>
    <row r="301" spans="1:5" ht="24.75">
      <c r="A301" s="11" t="s">
        <v>237</v>
      </c>
      <c r="B301" s="11" t="s">
        <v>133</v>
      </c>
      <c r="C301" s="11" t="s">
        <v>155</v>
      </c>
      <c r="D301" s="11" t="s">
        <v>619</v>
      </c>
      <c r="E301" s="11">
        <v>1.7726800026944938</v>
      </c>
    </row>
    <row r="302" spans="1:5" ht="24.75">
      <c r="A302" s="11" t="s">
        <v>237</v>
      </c>
      <c r="B302" s="11" t="s">
        <v>133</v>
      </c>
      <c r="C302" s="11" t="s">
        <v>155</v>
      </c>
      <c r="D302" s="11" t="s">
        <v>620</v>
      </c>
      <c r="E302" s="11">
        <v>0.15067000022901442</v>
      </c>
    </row>
    <row r="303" spans="1:5" ht="24.75">
      <c r="A303" s="11" t="s">
        <v>237</v>
      </c>
      <c r="B303" s="11" t="s">
        <v>133</v>
      </c>
      <c r="C303" s="11" t="s">
        <v>155</v>
      </c>
      <c r="D303" s="11" t="s">
        <v>621</v>
      </c>
      <c r="E303" s="11">
        <v>0.45734000069519187</v>
      </c>
    </row>
    <row r="304" spans="1:5" ht="24.75">
      <c r="A304" s="11" t="s">
        <v>237</v>
      </c>
      <c r="B304" s="11" t="s">
        <v>133</v>
      </c>
      <c r="C304" s="11" t="s">
        <v>155</v>
      </c>
      <c r="D304" s="11" t="s">
        <v>622</v>
      </c>
      <c r="E304" s="11">
        <v>4.1916878029472056</v>
      </c>
    </row>
    <row r="305" spans="1:5" ht="24.75">
      <c r="A305" s="11" t="s">
        <v>237</v>
      </c>
      <c r="B305" s="11" t="s">
        <v>133</v>
      </c>
      <c r="C305" s="11" t="s">
        <v>155</v>
      </c>
      <c r="D305" s="11" t="s">
        <v>623</v>
      </c>
      <c r="E305" s="11">
        <v>13.549936117813303</v>
      </c>
    </row>
    <row r="306" spans="1:5" ht="24.75">
      <c r="A306" s="11" t="s">
        <v>237</v>
      </c>
      <c r="B306" s="11" t="s">
        <v>133</v>
      </c>
      <c r="C306" s="11" t="s">
        <v>155</v>
      </c>
      <c r="D306" s="11" t="s">
        <v>624</v>
      </c>
      <c r="E306" s="11">
        <v>2.3727600036065954</v>
      </c>
    </row>
    <row r="307" spans="1:5" ht="24.75">
      <c r="A307" s="11" t="s">
        <v>237</v>
      </c>
      <c r="B307" s="11" t="s">
        <v>133</v>
      </c>
      <c r="C307" s="11" t="s">
        <v>155</v>
      </c>
      <c r="D307" s="11" t="s">
        <v>625</v>
      </c>
      <c r="E307" s="11">
        <v>0.64685505251109188</v>
      </c>
    </row>
    <row r="308" spans="1:5" ht="24.75">
      <c r="A308" s="11" t="s">
        <v>237</v>
      </c>
      <c r="B308" s="11" t="s">
        <v>133</v>
      </c>
      <c r="C308" s="11" t="s">
        <v>155</v>
      </c>
      <c r="D308" s="11" t="s">
        <v>626</v>
      </c>
      <c r="E308" s="11">
        <v>27.236888035256776</v>
      </c>
    </row>
    <row r="309" spans="1:5" ht="24.75">
      <c r="A309" s="11" t="s">
        <v>237</v>
      </c>
      <c r="B309" s="11" t="s">
        <v>133</v>
      </c>
      <c r="C309" s="11" t="s">
        <v>155</v>
      </c>
      <c r="D309" s="11" t="s">
        <v>627</v>
      </c>
      <c r="E309" s="11">
        <v>13.595900107877771</v>
      </c>
    </row>
    <row r="310" spans="1:5" ht="24.75">
      <c r="A310" s="11" t="s">
        <v>237</v>
      </c>
      <c r="B310" s="11" t="s">
        <v>133</v>
      </c>
      <c r="C310" s="11" t="s">
        <v>155</v>
      </c>
      <c r="D310" s="11" t="s">
        <v>628</v>
      </c>
      <c r="E310" s="11">
        <v>0.7264522074488684</v>
      </c>
    </row>
    <row r="311" spans="1:5" ht="24.75">
      <c r="A311" s="11" t="s">
        <v>237</v>
      </c>
      <c r="B311" s="11" t="s">
        <v>133</v>
      </c>
      <c r="C311" s="11" t="s">
        <v>155</v>
      </c>
      <c r="D311" s="11" t="s">
        <v>629</v>
      </c>
      <c r="E311" s="11">
        <v>4.7879000072775586</v>
      </c>
    </row>
    <row r="312" spans="1:5" ht="24.75">
      <c r="A312" s="11" t="s">
        <v>237</v>
      </c>
      <c r="B312" s="11" t="s">
        <v>133</v>
      </c>
      <c r="C312" s="11" t="s">
        <v>155</v>
      </c>
      <c r="D312" s="11" t="s">
        <v>630</v>
      </c>
      <c r="E312" s="11">
        <v>2.5706850039074114</v>
      </c>
    </row>
    <row r="313" spans="1:5" ht="24.75">
      <c r="A313" s="11" t="s">
        <v>237</v>
      </c>
      <c r="B313" s="11" t="s">
        <v>133</v>
      </c>
      <c r="C313" s="11" t="s">
        <v>155</v>
      </c>
      <c r="D313" s="11" t="s">
        <v>631</v>
      </c>
      <c r="E313" s="11">
        <v>2.8184654759644179</v>
      </c>
    </row>
    <row r="314" spans="1:5" ht="24.75">
      <c r="A314" s="11" t="s">
        <v>237</v>
      </c>
      <c r="B314" s="11" t="s">
        <v>133</v>
      </c>
      <c r="C314" s="11" t="s">
        <v>155</v>
      </c>
      <c r="D314" s="11" t="s">
        <v>632</v>
      </c>
      <c r="E314" s="11">
        <v>7.0920425808924161</v>
      </c>
    </row>
    <row r="315" spans="1:5" ht="24.75">
      <c r="A315" s="11" t="s">
        <v>237</v>
      </c>
      <c r="B315" s="11" t="s">
        <v>133</v>
      </c>
      <c r="C315" s="11" t="s">
        <v>155</v>
      </c>
      <c r="D315" s="11" t="s">
        <v>633</v>
      </c>
      <c r="E315" s="11">
        <v>27.241644360974501</v>
      </c>
    </row>
    <row r="316" spans="1:5" ht="24.75">
      <c r="A316" s="11" t="s">
        <v>237</v>
      </c>
      <c r="B316" s="11" t="s">
        <v>133</v>
      </c>
      <c r="C316" s="11" t="s">
        <v>155</v>
      </c>
      <c r="D316" s="11" t="s">
        <v>634</v>
      </c>
      <c r="E316" s="11">
        <v>2.406884784456865</v>
      </c>
    </row>
    <row r="317" spans="1:5" ht="24.75">
      <c r="A317" s="11" t="s">
        <v>237</v>
      </c>
      <c r="B317" s="11" t="s">
        <v>133</v>
      </c>
      <c r="C317" s="11" t="s">
        <v>155</v>
      </c>
      <c r="D317" s="11" t="s">
        <v>635</v>
      </c>
      <c r="E317" s="11">
        <v>0.169000000256883</v>
      </c>
    </row>
    <row r="318" spans="1:5" ht="24.75">
      <c r="A318" s="11" t="s">
        <v>237</v>
      </c>
      <c r="B318" s="11" t="s">
        <v>133</v>
      </c>
      <c r="C318" s="11" t="s">
        <v>155</v>
      </c>
      <c r="D318" s="11" t="s">
        <v>636</v>
      </c>
      <c r="E318" s="11">
        <v>4.7879000072775586</v>
      </c>
    </row>
    <row r="319" spans="1:5" ht="24.75">
      <c r="A319" s="11" t="s">
        <v>237</v>
      </c>
      <c r="B319" s="11" t="s">
        <v>133</v>
      </c>
      <c r="C319" s="11" t="s">
        <v>155</v>
      </c>
      <c r="D319" s="11" t="s">
        <v>637</v>
      </c>
      <c r="E319" s="11">
        <v>2.5706850039074114</v>
      </c>
    </row>
    <row r="320" spans="1:5" ht="24.75">
      <c r="A320" s="11" t="s">
        <v>237</v>
      </c>
      <c r="B320" s="11" t="s">
        <v>133</v>
      </c>
      <c r="C320" s="11" t="s">
        <v>155</v>
      </c>
      <c r="D320" s="11" t="s">
        <v>638</v>
      </c>
      <c r="E320" s="11">
        <v>2.0622430642518994</v>
      </c>
    </row>
    <row r="321" spans="1:5" ht="24.75">
      <c r="A321" s="11" t="s">
        <v>237</v>
      </c>
      <c r="B321" s="11" t="s">
        <v>133</v>
      </c>
      <c r="C321" s="11" t="s">
        <v>155</v>
      </c>
      <c r="D321" s="11" t="s">
        <v>639</v>
      </c>
      <c r="E321" s="11">
        <v>6.4406572670767792</v>
      </c>
    </row>
    <row r="322" spans="1:5" ht="24.75">
      <c r="A322" s="11" t="s">
        <v>237</v>
      </c>
      <c r="B322" s="11" t="s">
        <v>133</v>
      </c>
      <c r="C322" s="11" t="s">
        <v>155</v>
      </c>
      <c r="D322" s="11" t="s">
        <v>640</v>
      </c>
      <c r="E322" s="11">
        <v>0.169000000256883</v>
      </c>
    </row>
    <row r="323" spans="1:5" ht="24.75">
      <c r="A323" s="11" t="s">
        <v>237</v>
      </c>
      <c r="B323" s="11" t="s">
        <v>133</v>
      </c>
      <c r="C323" s="11" t="s">
        <v>155</v>
      </c>
      <c r="D323" s="11" t="s">
        <v>641</v>
      </c>
      <c r="E323" s="11">
        <v>0.16900000025689602</v>
      </c>
    </row>
    <row r="324" spans="1:5" ht="24.75">
      <c r="A324" s="11" t="s">
        <v>237</v>
      </c>
      <c r="B324" s="11" t="s">
        <v>133</v>
      </c>
      <c r="C324" s="11" t="s">
        <v>155</v>
      </c>
      <c r="D324" s="11" t="s">
        <v>642</v>
      </c>
      <c r="E324" s="11">
        <v>0.169000000256881</v>
      </c>
    </row>
    <row r="325" spans="1:5" ht="24.75">
      <c r="A325" s="11" t="s">
        <v>237</v>
      </c>
      <c r="B325" s="11" t="s">
        <v>133</v>
      </c>
      <c r="C325" s="11" t="s">
        <v>155</v>
      </c>
      <c r="D325" s="11" t="s">
        <v>643</v>
      </c>
      <c r="E325" s="11">
        <v>4.9179000074751578</v>
      </c>
    </row>
    <row r="326" spans="1:5" ht="24.75">
      <c r="A326" s="11" t="s">
        <v>237</v>
      </c>
      <c r="B326" s="11" t="s">
        <v>133</v>
      </c>
      <c r="C326" s="11" t="s">
        <v>155</v>
      </c>
      <c r="D326" s="11" t="s">
        <v>644</v>
      </c>
      <c r="E326" s="11">
        <v>4.9179000074751578</v>
      </c>
    </row>
    <row r="327" spans="1:5" ht="24.75">
      <c r="A327" s="11" t="s">
        <v>237</v>
      </c>
      <c r="B327" s="11" t="s">
        <v>133</v>
      </c>
      <c r="C327" s="11" t="s">
        <v>155</v>
      </c>
      <c r="D327" s="11" t="s">
        <v>645</v>
      </c>
      <c r="E327" s="11">
        <v>5.0479000076727578</v>
      </c>
    </row>
    <row r="328" spans="1:5" ht="24.75">
      <c r="A328" s="11" t="s">
        <v>237</v>
      </c>
      <c r="B328" s="11" t="s">
        <v>133</v>
      </c>
      <c r="C328" s="11" t="s">
        <v>155</v>
      </c>
      <c r="D328" s="11" t="s">
        <v>646</v>
      </c>
      <c r="E328" s="11">
        <v>2.1580000032801703</v>
      </c>
    </row>
    <row r="329" spans="1:5" ht="24.75">
      <c r="A329" s="11" t="s">
        <v>237</v>
      </c>
      <c r="B329" s="11" t="s">
        <v>133</v>
      </c>
      <c r="C329" s="11" t="s">
        <v>155</v>
      </c>
      <c r="D329" s="11" t="s">
        <v>647</v>
      </c>
      <c r="E329" s="11">
        <v>2.1580000032801703</v>
      </c>
    </row>
    <row r="330" spans="1:5" ht="24.75">
      <c r="A330" s="11" t="s">
        <v>237</v>
      </c>
      <c r="B330" s="11" t="s">
        <v>133</v>
      </c>
      <c r="C330" s="11" t="s">
        <v>155</v>
      </c>
      <c r="D330" s="11" t="s">
        <v>648</v>
      </c>
      <c r="E330" s="11">
        <v>0.16900000025687903</v>
      </c>
    </row>
    <row r="331" spans="1:5" ht="24.75">
      <c r="A331" s="11" t="s">
        <v>237</v>
      </c>
      <c r="B331" s="11" t="s">
        <v>133</v>
      </c>
      <c r="C331" s="11" t="s">
        <v>155</v>
      </c>
      <c r="D331" s="11" t="s">
        <v>649</v>
      </c>
      <c r="E331" s="11">
        <v>0.16900000025688602</v>
      </c>
    </row>
    <row r="332" spans="1:5" ht="24.75">
      <c r="A332" s="11" t="s">
        <v>237</v>
      </c>
      <c r="B332" s="11" t="s">
        <v>133</v>
      </c>
      <c r="C332" s="11" t="s">
        <v>155</v>
      </c>
      <c r="D332" s="11" t="s">
        <v>650</v>
      </c>
      <c r="E332" s="11">
        <v>0.16900000025688802</v>
      </c>
    </row>
    <row r="333" spans="1:5" ht="24.75">
      <c r="A333" s="11" t="s">
        <v>237</v>
      </c>
      <c r="B333" s="11" t="s">
        <v>133</v>
      </c>
      <c r="C333" s="11" t="s">
        <v>155</v>
      </c>
      <c r="D333" s="11" t="s">
        <v>651</v>
      </c>
      <c r="E333" s="11">
        <v>0.16900000025687903</v>
      </c>
    </row>
    <row r="334" spans="1:5" ht="24.75">
      <c r="A334" s="11" t="s">
        <v>237</v>
      </c>
      <c r="B334" s="11" t="s">
        <v>133</v>
      </c>
      <c r="C334" s="11" t="s">
        <v>155</v>
      </c>
      <c r="D334" s="11" t="s">
        <v>652</v>
      </c>
      <c r="E334" s="11">
        <v>0.16900000025688602</v>
      </c>
    </row>
    <row r="335" spans="1:5" ht="24.75">
      <c r="A335" s="11" t="s">
        <v>237</v>
      </c>
      <c r="B335" s="11" t="s">
        <v>133</v>
      </c>
      <c r="C335" s="11" t="s">
        <v>155</v>
      </c>
      <c r="D335" s="11" t="s">
        <v>653</v>
      </c>
      <c r="E335" s="11">
        <v>1.2429406290201199</v>
      </c>
    </row>
    <row r="336" spans="1:5" ht="24.75">
      <c r="A336" s="11" t="s">
        <v>237</v>
      </c>
      <c r="B336" s="11" t="s">
        <v>133</v>
      </c>
      <c r="C336" s="11" t="s">
        <v>155</v>
      </c>
      <c r="D336" s="11" t="s">
        <v>654</v>
      </c>
      <c r="E336" s="11">
        <v>1.2429406290198999</v>
      </c>
    </row>
    <row r="337" spans="1:5" ht="24.75">
      <c r="A337" s="11" t="s">
        <v>237</v>
      </c>
      <c r="B337" s="11" t="s">
        <v>133</v>
      </c>
      <c r="C337" s="11" t="s">
        <v>155</v>
      </c>
      <c r="D337" s="11" t="s">
        <v>655</v>
      </c>
      <c r="E337" s="11">
        <v>2.5872416462052374</v>
      </c>
    </row>
    <row r="338" spans="1:5" ht="24.75">
      <c r="A338" s="11" t="s">
        <v>237</v>
      </c>
      <c r="B338" s="11" t="s">
        <v>133</v>
      </c>
      <c r="C338" s="11" t="s">
        <v>155</v>
      </c>
      <c r="D338" s="11" t="s">
        <v>656</v>
      </c>
      <c r="E338" s="11">
        <v>0.18499000028131082</v>
      </c>
    </row>
    <row r="339" spans="1:5" ht="24.75">
      <c r="A339" s="11" t="s">
        <v>237</v>
      </c>
      <c r="B339" s="11" t="s">
        <v>133</v>
      </c>
      <c r="C339" s="11" t="s">
        <v>155</v>
      </c>
      <c r="D339" s="11" t="s">
        <v>657</v>
      </c>
      <c r="E339" s="11">
        <v>27.210884443880442</v>
      </c>
    </row>
    <row r="340" spans="1:5" ht="24.75">
      <c r="A340" s="11" t="s">
        <v>237</v>
      </c>
      <c r="B340" s="11" t="s">
        <v>133</v>
      </c>
      <c r="C340" s="11" t="s">
        <v>155</v>
      </c>
      <c r="D340" s="11" t="s">
        <v>658</v>
      </c>
      <c r="E340" s="11">
        <v>2.2011600033456933</v>
      </c>
    </row>
    <row r="341" spans="1:5" ht="24.75">
      <c r="A341" s="11" t="s">
        <v>237</v>
      </c>
      <c r="B341" s="11" t="s">
        <v>133</v>
      </c>
      <c r="C341" s="11" t="s">
        <v>155</v>
      </c>
      <c r="D341" s="11" t="s">
        <v>659</v>
      </c>
      <c r="E341" s="11">
        <v>2.210089326928196</v>
      </c>
    </row>
    <row r="342" spans="1:5" ht="24.75">
      <c r="A342" s="11" t="s">
        <v>237</v>
      </c>
      <c r="B342" s="11" t="s">
        <v>133</v>
      </c>
      <c r="C342" s="11" t="s">
        <v>155</v>
      </c>
      <c r="D342" s="11" t="s">
        <v>660</v>
      </c>
      <c r="E342" s="11">
        <v>32.420269373424709</v>
      </c>
    </row>
    <row r="343" spans="1:5" ht="24.75">
      <c r="A343" s="11" t="s">
        <v>237</v>
      </c>
      <c r="B343" s="11" t="s">
        <v>133</v>
      </c>
      <c r="C343" s="11" t="s">
        <v>155</v>
      </c>
      <c r="D343" s="11" t="s">
        <v>661</v>
      </c>
      <c r="E343" s="11">
        <v>13.334880020268921</v>
      </c>
    </row>
    <row r="344" spans="1:5" ht="24.75">
      <c r="A344" s="11" t="s">
        <v>237</v>
      </c>
      <c r="B344" s="11" t="s">
        <v>133</v>
      </c>
      <c r="C344" s="11" t="s">
        <v>155</v>
      </c>
      <c r="D344" s="11" t="s">
        <v>662</v>
      </c>
      <c r="E344" s="11">
        <v>2.8945193232927999</v>
      </c>
    </row>
    <row r="345" spans="1:5" ht="24.75">
      <c r="A345" s="11" t="s">
        <v>237</v>
      </c>
      <c r="B345" s="11" t="s">
        <v>133</v>
      </c>
      <c r="C345" s="11" t="s">
        <v>155</v>
      </c>
      <c r="D345" s="11" t="s">
        <v>663</v>
      </c>
      <c r="E345" s="11">
        <v>0.28689387947698974</v>
      </c>
    </row>
    <row r="346" spans="1:5" ht="24.75">
      <c r="A346" s="11" t="s">
        <v>237</v>
      </c>
      <c r="B346" s="11" t="s">
        <v>133</v>
      </c>
      <c r="C346" s="11" t="s">
        <v>155</v>
      </c>
      <c r="D346" s="11" t="s">
        <v>664</v>
      </c>
      <c r="E346" s="11">
        <v>13.33488002026902</v>
      </c>
    </row>
    <row r="347" spans="1:5" ht="24.75">
      <c r="A347" s="11" t="s">
        <v>237</v>
      </c>
      <c r="B347" s="11" t="s">
        <v>133</v>
      </c>
      <c r="C347" s="11" t="s">
        <v>155</v>
      </c>
      <c r="D347" s="11" t="s">
        <v>665</v>
      </c>
      <c r="E347" s="11">
        <v>0.36829000055981886</v>
      </c>
    </row>
    <row r="348" spans="1:5" ht="24.75">
      <c r="A348" s="11" t="s">
        <v>237</v>
      </c>
      <c r="B348" s="11" t="s">
        <v>133</v>
      </c>
      <c r="C348" s="11" t="s">
        <v>155</v>
      </c>
      <c r="D348" s="11" t="s">
        <v>666</v>
      </c>
      <c r="E348" s="11">
        <v>11.676658714375723</v>
      </c>
    </row>
    <row r="349" spans="1:5" ht="24.75">
      <c r="A349" s="11" t="s">
        <v>237</v>
      </c>
      <c r="B349" s="11" t="s">
        <v>133</v>
      </c>
      <c r="C349" s="11" t="s">
        <v>155</v>
      </c>
      <c r="D349" s="11" t="s">
        <v>667</v>
      </c>
      <c r="E349" s="11">
        <v>0.36829000055978489</v>
      </c>
    </row>
    <row r="350" spans="1:5" ht="24.75">
      <c r="A350" s="11" t="s">
        <v>237</v>
      </c>
      <c r="B350" s="11" t="s">
        <v>133</v>
      </c>
      <c r="C350" s="11" t="s">
        <v>155</v>
      </c>
      <c r="D350" s="11" t="s">
        <v>668</v>
      </c>
      <c r="E350" s="11">
        <v>11.006154017006455</v>
      </c>
    </row>
    <row r="351" spans="1:5" ht="24.75">
      <c r="A351" s="11" t="s">
        <v>237</v>
      </c>
      <c r="B351" s="11" t="s">
        <v>133</v>
      </c>
      <c r="C351" s="11" t="s">
        <v>155</v>
      </c>
      <c r="D351" s="11" t="s">
        <v>669</v>
      </c>
      <c r="E351" s="11">
        <v>4.9741541034936434</v>
      </c>
    </row>
    <row r="352" spans="1:5" ht="24.75">
      <c r="A352" s="11" t="s">
        <v>237</v>
      </c>
      <c r="B352" s="11" t="s">
        <v>133</v>
      </c>
      <c r="C352" s="11" t="s">
        <v>155</v>
      </c>
      <c r="D352" s="11" t="s">
        <v>670</v>
      </c>
      <c r="E352" s="11">
        <v>13.588380020654238</v>
      </c>
    </row>
    <row r="353" spans="1:5">
      <c r="A353" s="1" t="s">
        <v>126</v>
      </c>
      <c r="B353" s="1" t="s">
        <v>126</v>
      </c>
      <c r="C353" s="1">
        <f>SUBTOTAL(103,Elements138142[Elemento])</f>
        <v>224</v>
      </c>
      <c r="D353" s="1" t="s">
        <v>126</v>
      </c>
      <c r="E353" s="1">
        <f>SUBTOTAL(109,Elements138142[Totais:])</f>
        <v>890.92511605030927</v>
      </c>
    </row>
  </sheetData>
  <mergeCells count="6">
    <mergeCell ref="A127:E127"/>
    <mergeCell ref="A1:E2"/>
    <mergeCell ref="A4:E4"/>
    <mergeCell ref="A5:E5"/>
    <mergeCell ref="A123:E124"/>
    <mergeCell ref="A126:E126"/>
  </mergeCells>
  <hyperlinks>
    <hyperlink ref="A1" location="'13.8.14'!A1" display="CABO DE REDE, PAR TRANCADO UTP, 4 PARES, CATEGORIA 6 (CAT 6), ISOLAMENTO PVC (LSZH)" xr:uid="{00000000-0004-0000-2A00-000000000000}"/>
    <hyperlink ref="B1" location="'13.8.14'!A1" display="CABO DE REDE, PAR TRANCADO UTP, 4 PARES, CATEGORIA 6 (CAT 6), ISOLAMENTO PVC (LSZH)" xr:uid="{00000000-0004-0000-2A00-000001000000}"/>
    <hyperlink ref="C1" location="'13.8.14'!A1" display="CABO DE REDE, PAR TRANCADO UTP, 4 PARES, CATEGORIA 6 (CAT 6), ISOLAMENTO PVC (LSZH)" xr:uid="{00000000-0004-0000-2A00-000002000000}"/>
    <hyperlink ref="D1" location="'13.8.14'!A1" display="CABO DE REDE, PAR TRANCADO UTP, 4 PARES, CATEGORIA 6 (CAT 6), ISOLAMENTO PVC (LSZH)" xr:uid="{00000000-0004-0000-2A00-000003000000}"/>
    <hyperlink ref="E1" location="'13.8.14'!A1" display="CABO DE REDE, PAR TRANCADO UTP, 4 PARES, CATEGORIA 6 (CAT 6), ISOLAMENTO PVC (LSZH)" xr:uid="{00000000-0004-0000-2A00-000004000000}"/>
    <hyperlink ref="A2" location="'13.8.14'!A1" display="CABO DE REDE, PAR TRANCADO UTP, 4 PARES, CATEGORIA 6 (CAT 6), ISOLAMENTO PVC (LSZH)" xr:uid="{00000000-0004-0000-2A00-000005000000}"/>
    <hyperlink ref="B2" location="'13.8.14'!A1" display="CABO DE REDE, PAR TRANCADO UTP, 4 PARES, CATEGORIA 6 (CAT 6), ISOLAMENTO PVC (LSZH)" xr:uid="{00000000-0004-0000-2A00-000006000000}"/>
    <hyperlink ref="C2" location="'13.8.14'!A1" display="CABO DE REDE, PAR TRANCADO UTP, 4 PARES, CATEGORIA 6 (CAT 6), ISOLAMENTO PVC (LSZH)" xr:uid="{00000000-0004-0000-2A00-000007000000}"/>
    <hyperlink ref="D2" location="'13.8.14'!A1" display="CABO DE REDE, PAR TRANCADO UTP, 4 PARES, CATEGORIA 6 (CAT 6), ISOLAMENTO PVC (LSZH)" xr:uid="{00000000-0004-0000-2A00-000008000000}"/>
    <hyperlink ref="E2" location="'13.8.14'!A1" display="CABO DE REDE, PAR TRANCADO UTP, 4 PARES, CATEGORIA 6 (CAT 6), ISOLAMENTO PVC (LSZH)" xr:uid="{00000000-0004-0000-2A00-000009000000}"/>
    <hyperlink ref="A4" location="'13.8.14'!A1" display="Bandejas de cabos" xr:uid="{00000000-0004-0000-2A00-00000A000000}"/>
    <hyperlink ref="B4" location="'13.8.14'!A1" display="Bandejas de cabos" xr:uid="{00000000-0004-0000-2A00-00000B000000}"/>
    <hyperlink ref="C4" location="'13.8.14'!A1" display="Bandejas de cabos" xr:uid="{00000000-0004-0000-2A00-00000C000000}"/>
    <hyperlink ref="D4" location="'13.8.14'!A1" display="Bandejas de cabos" xr:uid="{00000000-0004-0000-2A00-00000D000000}"/>
    <hyperlink ref="E4" location="'13.8.14'!A1" display="Bandejas de cabos" xr:uid="{00000000-0004-0000-2A00-00000E000000}"/>
    <hyperlink ref="A123" location="'13.8.14'!A1" display="CABO DE REDE, PAR TRANCADO UTP, 4 PARES, CATEGORIA 6 (CAT 6), ISOLAMENTO PVC (LSZH)" xr:uid="{00000000-0004-0000-2A00-00000F000000}"/>
    <hyperlink ref="B123" location="'13.8.14'!A1" display="CABO DE REDE, PAR TRANCADO UTP, 4 PARES, CATEGORIA 6 (CAT 6), ISOLAMENTO PVC (LSZH)" xr:uid="{00000000-0004-0000-2A00-000010000000}"/>
    <hyperlink ref="C123" location="'13.8.14'!A1" display="CABO DE REDE, PAR TRANCADO UTP, 4 PARES, CATEGORIA 6 (CAT 6), ISOLAMENTO PVC (LSZH)" xr:uid="{00000000-0004-0000-2A00-000011000000}"/>
    <hyperlink ref="D123" location="'13.8.14'!A1" display="CABO DE REDE, PAR TRANCADO UTP, 4 PARES, CATEGORIA 6 (CAT 6), ISOLAMENTO PVC (LSZH)" xr:uid="{00000000-0004-0000-2A00-000012000000}"/>
    <hyperlink ref="E123" location="'13.8.14'!A1" display="CABO DE REDE, PAR TRANCADO UTP, 4 PARES, CATEGORIA 6 (CAT 6), ISOLAMENTO PVC (LSZH)" xr:uid="{00000000-0004-0000-2A00-000013000000}"/>
    <hyperlink ref="A124" location="'13.8.14'!A1" display="CABO DE REDE, PAR TRANCADO UTP, 4 PARES, CATEGORIA 6 (CAT 6), ISOLAMENTO PVC (LSZH)" xr:uid="{00000000-0004-0000-2A00-000014000000}"/>
    <hyperlink ref="B124" location="'13.8.14'!A1" display="CABO DE REDE, PAR TRANCADO UTP, 4 PARES, CATEGORIA 6 (CAT 6), ISOLAMENTO PVC (LSZH)" xr:uid="{00000000-0004-0000-2A00-000015000000}"/>
    <hyperlink ref="C124" location="'13.8.14'!A1" display="CABO DE REDE, PAR TRANCADO UTP, 4 PARES, CATEGORIA 6 (CAT 6), ISOLAMENTO PVC (LSZH)" xr:uid="{00000000-0004-0000-2A00-000016000000}"/>
    <hyperlink ref="D124" location="'13.8.14'!A1" display="CABO DE REDE, PAR TRANCADO UTP, 4 PARES, CATEGORIA 6 (CAT 6), ISOLAMENTO PVC (LSZH)" xr:uid="{00000000-0004-0000-2A00-000017000000}"/>
    <hyperlink ref="E124" location="'13.8.14'!A1" display="CABO DE REDE, PAR TRANCADO UTP, 4 PARES, CATEGORIA 6 (CAT 6), ISOLAMENTO PVC (LSZH)" xr:uid="{00000000-0004-0000-2A00-000018000000}"/>
    <hyperlink ref="A126" location="'13.8.14'!A1" display="Conduites" xr:uid="{00000000-0004-0000-2A00-000019000000}"/>
    <hyperlink ref="B126" location="'13.8.14'!A1" display="Conduites" xr:uid="{00000000-0004-0000-2A00-00001A000000}"/>
    <hyperlink ref="C126" location="'13.8.14'!A1" display="Conduites" xr:uid="{00000000-0004-0000-2A00-00001B000000}"/>
    <hyperlink ref="D126" location="'13.8.14'!A1" display="Conduites" xr:uid="{00000000-0004-0000-2A00-00001C000000}"/>
    <hyperlink ref="E126" location="'13.8.14'!A1" display="Conduites" xr:uid="{00000000-0004-0000-2A00-00001D000000}"/>
  </hyperlinks>
  <pageMargins left="0.511811024" right="0.511811024" top="0.78740157499999996" bottom="0.78740157499999996" header="0.31496062000000002" footer="0.31496062000000002"/>
  <tableParts count="2">
    <tablePart r:id="rId1"/>
    <tablePart r:id="rId2"/>
  </tableParts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dimension ref="A1:E8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74</v>
      </c>
      <c r="B1" s="23" t="s">
        <v>74</v>
      </c>
      <c r="C1" s="23" t="s">
        <v>74</v>
      </c>
      <c r="D1" s="23" t="s">
        <v>74</v>
      </c>
      <c r="E1" s="23" t="s">
        <v>74</v>
      </c>
    </row>
    <row r="2" spans="1:5">
      <c r="A2" s="23" t="s">
        <v>74</v>
      </c>
      <c r="B2" s="23" t="s">
        <v>74</v>
      </c>
      <c r="C2" s="23" t="s">
        <v>74</v>
      </c>
      <c r="D2" s="23" t="s">
        <v>74</v>
      </c>
      <c r="E2" s="23" t="s">
        <v>74</v>
      </c>
    </row>
    <row r="4" spans="1:5">
      <c r="A4" s="18" t="s">
        <v>168</v>
      </c>
      <c r="B4" s="18" t="s">
        <v>168</v>
      </c>
      <c r="C4" s="18" t="s">
        <v>168</v>
      </c>
      <c r="D4" s="18" t="s">
        <v>168</v>
      </c>
      <c r="E4" s="18" t="s">
        <v>168</v>
      </c>
    </row>
    <row r="5" spans="1:5">
      <c r="A5" s="24" t="s">
        <v>126</v>
      </c>
      <c r="B5" s="24" t="s">
        <v>126</v>
      </c>
      <c r="C5" s="24" t="s">
        <v>126</v>
      </c>
      <c r="D5" s="24" t="s">
        <v>126</v>
      </c>
      <c r="E5" s="24" t="s">
        <v>126</v>
      </c>
    </row>
    <row r="6" spans="1:5">
      <c r="A6" s="10" t="s">
        <v>232</v>
      </c>
      <c r="B6" s="10" t="s">
        <v>233</v>
      </c>
      <c r="C6" s="10" t="s">
        <v>234</v>
      </c>
      <c r="D6" s="10" t="s">
        <v>235</v>
      </c>
      <c r="E6" s="10" t="s">
        <v>236</v>
      </c>
    </row>
    <row r="7" spans="1:5" ht="24.75">
      <c r="A7" s="11" t="s">
        <v>237</v>
      </c>
      <c r="B7" s="11" t="s">
        <v>133</v>
      </c>
      <c r="C7" s="11" t="s">
        <v>199</v>
      </c>
      <c r="D7" s="11" t="s">
        <v>928</v>
      </c>
      <c r="E7" s="11">
        <v>1</v>
      </c>
    </row>
    <row r="8" spans="1:5">
      <c r="A8" s="1" t="s">
        <v>126</v>
      </c>
      <c r="B8" s="1" t="s">
        <v>126</v>
      </c>
      <c r="C8" s="1">
        <f>SUBTOTAL(103,Elements138151[Elemento])</f>
        <v>1</v>
      </c>
      <c r="D8" s="1" t="s">
        <v>126</v>
      </c>
      <c r="E8" s="1">
        <f>SUBTOTAL(109,Elements138151[Totais:])</f>
        <v>1</v>
      </c>
    </row>
  </sheetData>
  <mergeCells count="3">
    <mergeCell ref="A1:E2"/>
    <mergeCell ref="A4:E4"/>
    <mergeCell ref="A5:E5"/>
  </mergeCells>
  <hyperlinks>
    <hyperlink ref="A1" location="'13.8.15'!A1" display="CONDULETE DE ALUMÍNIO, TIPO B, PARA ELETRODUTO DE AÇO GALVANIZADO DN 25 MM (1''), APARENTE - FORNECIMENTO E INSTALAÇÃO. AF_10/2022" xr:uid="{00000000-0004-0000-2B00-000000000000}"/>
    <hyperlink ref="B1" location="'13.8.15'!A1" display="CONDULETE DE ALUMÍNIO, TIPO B, PARA ELETRODUTO DE AÇO GALVANIZADO DN 25 MM (1''), APARENTE - FORNECIMENTO E INSTALAÇÃO. AF_10/2022" xr:uid="{00000000-0004-0000-2B00-000001000000}"/>
    <hyperlink ref="C1" location="'13.8.15'!A1" display="CONDULETE DE ALUMÍNIO, TIPO B, PARA ELETRODUTO DE AÇO GALVANIZADO DN 25 MM (1''), APARENTE - FORNECIMENTO E INSTALAÇÃO. AF_10/2022" xr:uid="{00000000-0004-0000-2B00-000002000000}"/>
    <hyperlink ref="D1" location="'13.8.15'!A1" display="CONDULETE DE ALUMÍNIO, TIPO B, PARA ELETRODUTO DE AÇO GALVANIZADO DN 25 MM (1''), APARENTE - FORNECIMENTO E INSTALAÇÃO. AF_10/2022" xr:uid="{00000000-0004-0000-2B00-000003000000}"/>
    <hyperlink ref="E1" location="'13.8.15'!A1" display="CONDULETE DE ALUMÍNIO, TIPO B, PARA ELETRODUTO DE AÇO GALVANIZADO DN 25 MM (1''), APARENTE - FORNECIMENTO E INSTALAÇÃO. AF_10/2022" xr:uid="{00000000-0004-0000-2B00-000004000000}"/>
    <hyperlink ref="A2" location="'13.8.15'!A1" display="CONDULETE DE ALUMÍNIO, TIPO B, PARA ELETRODUTO DE AÇO GALVANIZADO DN 25 MM (1''), APARENTE - FORNECIMENTO E INSTALAÇÃO. AF_10/2022" xr:uid="{00000000-0004-0000-2B00-000005000000}"/>
    <hyperlink ref="B2" location="'13.8.15'!A1" display="CONDULETE DE ALUMÍNIO, TIPO B, PARA ELETRODUTO DE AÇO GALVANIZADO DN 25 MM (1''), APARENTE - FORNECIMENTO E INSTALAÇÃO. AF_10/2022" xr:uid="{00000000-0004-0000-2B00-000006000000}"/>
    <hyperlink ref="C2" location="'13.8.15'!A1" display="CONDULETE DE ALUMÍNIO, TIPO B, PARA ELETRODUTO DE AÇO GALVANIZADO DN 25 MM (1''), APARENTE - FORNECIMENTO E INSTALAÇÃO. AF_10/2022" xr:uid="{00000000-0004-0000-2B00-000007000000}"/>
    <hyperlink ref="D2" location="'13.8.15'!A1" display="CONDULETE DE ALUMÍNIO, TIPO B, PARA ELETRODUTO DE AÇO GALVANIZADO DN 25 MM (1''), APARENTE - FORNECIMENTO E INSTALAÇÃO. AF_10/2022" xr:uid="{00000000-0004-0000-2B00-000008000000}"/>
    <hyperlink ref="E2" location="'13.8.15'!A1" display="CONDULETE DE ALUMÍNIO, TIPO B, PARA ELETRODUTO DE AÇO GALVANIZADO DN 25 MM (1''), APARENTE - FORNECIMENTO E INSTALAÇÃO. AF_10/2022" xr:uid="{00000000-0004-0000-2B00-000009000000}"/>
    <hyperlink ref="A4" location="'13.8.15'!A1" display="Conexões do conduite (240,0mm²_Fase B)" xr:uid="{00000000-0004-0000-2B00-00000A000000}"/>
    <hyperlink ref="B4" location="'13.8.15'!A1" display="Conexões do conduite (240,0mm²_Fase B)" xr:uid="{00000000-0004-0000-2B00-00000B000000}"/>
    <hyperlink ref="C4" location="'13.8.15'!A1" display="Conexões do conduite (240,0mm²_Fase B)" xr:uid="{00000000-0004-0000-2B00-00000C000000}"/>
    <hyperlink ref="D4" location="'13.8.15'!A1" display="Conexões do conduite (240,0mm²_Fase B)" xr:uid="{00000000-0004-0000-2B00-00000D000000}"/>
    <hyperlink ref="E4" location="'13.8.15'!A1" display="Conexões do conduite (240,0mm²_Fase B)" xr:uid="{00000000-0004-0000-2B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1:E83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77</v>
      </c>
      <c r="B1" s="23" t="s">
        <v>77</v>
      </c>
      <c r="C1" s="23" t="s">
        <v>77</v>
      </c>
      <c r="D1" s="23" t="s">
        <v>77</v>
      </c>
      <c r="E1" s="23" t="s">
        <v>77</v>
      </c>
    </row>
    <row r="2" spans="1:5">
      <c r="A2" s="23" t="s">
        <v>77</v>
      </c>
      <c r="B2" s="23" t="s">
        <v>77</v>
      </c>
      <c r="C2" s="23" t="s">
        <v>77</v>
      </c>
      <c r="D2" s="23" t="s">
        <v>77</v>
      </c>
      <c r="E2" s="23" t="s">
        <v>77</v>
      </c>
    </row>
    <row r="4" spans="1:5">
      <c r="A4" s="18" t="s">
        <v>175</v>
      </c>
      <c r="B4" s="18" t="s">
        <v>175</v>
      </c>
      <c r="C4" s="18" t="s">
        <v>175</v>
      </c>
      <c r="D4" s="18" t="s">
        <v>175</v>
      </c>
      <c r="E4" s="18" t="s">
        <v>175</v>
      </c>
    </row>
    <row r="5" spans="1:5">
      <c r="A5" s="24" t="s">
        <v>126</v>
      </c>
      <c r="B5" s="24" t="s">
        <v>126</v>
      </c>
      <c r="C5" s="24" t="s">
        <v>126</v>
      </c>
      <c r="D5" s="24" t="s">
        <v>126</v>
      </c>
      <c r="E5" s="24" t="s">
        <v>126</v>
      </c>
    </row>
    <row r="6" spans="1:5">
      <c r="A6" s="10" t="s">
        <v>232</v>
      </c>
      <c r="B6" s="10" t="s">
        <v>233</v>
      </c>
      <c r="C6" s="10" t="s">
        <v>234</v>
      </c>
      <c r="D6" s="10" t="s">
        <v>235</v>
      </c>
      <c r="E6" s="10" t="s">
        <v>236</v>
      </c>
    </row>
    <row r="7" spans="1:5" ht="24.75">
      <c r="A7" s="11" t="s">
        <v>237</v>
      </c>
      <c r="B7" s="11" t="s">
        <v>133</v>
      </c>
      <c r="C7" s="11" t="s">
        <v>201</v>
      </c>
      <c r="D7" s="11" t="s">
        <v>929</v>
      </c>
      <c r="E7" s="11">
        <v>1</v>
      </c>
    </row>
    <row r="8" spans="1:5" ht="24.75">
      <c r="A8" s="11" t="s">
        <v>237</v>
      </c>
      <c r="B8" s="11" t="s">
        <v>133</v>
      </c>
      <c r="C8" s="11" t="s">
        <v>201</v>
      </c>
      <c r="D8" s="11" t="s">
        <v>930</v>
      </c>
      <c r="E8" s="11">
        <v>1</v>
      </c>
    </row>
    <row r="9" spans="1:5" ht="24.75">
      <c r="A9" s="11" t="s">
        <v>237</v>
      </c>
      <c r="B9" s="11" t="s">
        <v>133</v>
      </c>
      <c r="C9" s="11" t="s">
        <v>201</v>
      </c>
      <c r="D9" s="11" t="s">
        <v>931</v>
      </c>
      <c r="E9" s="11">
        <v>1</v>
      </c>
    </row>
    <row r="10" spans="1:5" ht="24.75">
      <c r="A10" s="11" t="s">
        <v>237</v>
      </c>
      <c r="B10" s="11" t="s">
        <v>133</v>
      </c>
      <c r="C10" s="11" t="s">
        <v>201</v>
      </c>
      <c r="D10" s="11" t="s">
        <v>932</v>
      </c>
      <c r="E10" s="11">
        <v>1</v>
      </c>
    </row>
    <row r="11" spans="1:5" ht="24.75">
      <c r="A11" s="11" t="s">
        <v>237</v>
      </c>
      <c r="B11" s="11" t="s">
        <v>133</v>
      </c>
      <c r="C11" s="11" t="s">
        <v>201</v>
      </c>
      <c r="D11" s="11" t="s">
        <v>933</v>
      </c>
      <c r="E11" s="11">
        <v>1</v>
      </c>
    </row>
    <row r="12" spans="1:5" ht="24.75">
      <c r="A12" s="11" t="s">
        <v>237</v>
      </c>
      <c r="B12" s="11" t="s">
        <v>133</v>
      </c>
      <c r="C12" s="11" t="s">
        <v>201</v>
      </c>
      <c r="D12" s="11" t="s">
        <v>934</v>
      </c>
      <c r="E12" s="11">
        <v>1</v>
      </c>
    </row>
    <row r="13" spans="1:5" ht="24.75">
      <c r="A13" s="11" t="s">
        <v>237</v>
      </c>
      <c r="B13" s="11" t="s">
        <v>133</v>
      </c>
      <c r="C13" s="11" t="s">
        <v>201</v>
      </c>
      <c r="D13" s="11" t="s">
        <v>935</v>
      </c>
      <c r="E13" s="11">
        <v>1</v>
      </c>
    </row>
    <row r="14" spans="1:5" ht="24.75">
      <c r="A14" s="11" t="s">
        <v>237</v>
      </c>
      <c r="B14" s="11" t="s">
        <v>133</v>
      </c>
      <c r="C14" s="11" t="s">
        <v>201</v>
      </c>
      <c r="D14" s="11" t="s">
        <v>936</v>
      </c>
      <c r="E14" s="11">
        <v>1</v>
      </c>
    </row>
    <row r="15" spans="1:5" ht="24.75">
      <c r="A15" s="11" t="s">
        <v>237</v>
      </c>
      <c r="B15" s="11" t="s">
        <v>133</v>
      </c>
      <c r="C15" s="11" t="s">
        <v>201</v>
      </c>
      <c r="D15" s="11" t="s">
        <v>937</v>
      </c>
      <c r="E15" s="11">
        <v>1</v>
      </c>
    </row>
    <row r="16" spans="1:5" ht="24.75">
      <c r="A16" s="11" t="s">
        <v>237</v>
      </c>
      <c r="B16" s="11" t="s">
        <v>133</v>
      </c>
      <c r="C16" s="11" t="s">
        <v>201</v>
      </c>
      <c r="D16" s="11" t="s">
        <v>938</v>
      </c>
      <c r="E16" s="11">
        <v>1</v>
      </c>
    </row>
    <row r="17" spans="1:5" ht="24.75">
      <c r="A17" s="11" t="s">
        <v>237</v>
      </c>
      <c r="B17" s="11" t="s">
        <v>133</v>
      </c>
      <c r="C17" s="11" t="s">
        <v>201</v>
      </c>
      <c r="D17" s="11" t="s">
        <v>939</v>
      </c>
      <c r="E17" s="11">
        <v>1</v>
      </c>
    </row>
    <row r="18" spans="1:5" ht="24.75">
      <c r="A18" s="11" t="s">
        <v>237</v>
      </c>
      <c r="B18" s="11" t="s">
        <v>133</v>
      </c>
      <c r="C18" s="11" t="s">
        <v>201</v>
      </c>
      <c r="D18" s="11" t="s">
        <v>940</v>
      </c>
      <c r="E18" s="11">
        <v>1</v>
      </c>
    </row>
    <row r="19" spans="1:5" ht="24.75">
      <c r="A19" s="11" t="s">
        <v>237</v>
      </c>
      <c r="B19" s="11" t="s">
        <v>133</v>
      </c>
      <c r="C19" s="11" t="s">
        <v>201</v>
      </c>
      <c r="D19" s="11" t="s">
        <v>941</v>
      </c>
      <c r="E19" s="11">
        <v>1</v>
      </c>
    </row>
    <row r="20" spans="1:5" ht="24.75">
      <c r="A20" s="11" t="s">
        <v>237</v>
      </c>
      <c r="B20" s="11" t="s">
        <v>133</v>
      </c>
      <c r="C20" s="11" t="s">
        <v>201</v>
      </c>
      <c r="D20" s="11" t="s">
        <v>942</v>
      </c>
      <c r="E20" s="11">
        <v>1</v>
      </c>
    </row>
    <row r="21" spans="1:5" ht="24.75">
      <c r="A21" s="11" t="s">
        <v>237</v>
      </c>
      <c r="B21" s="11" t="s">
        <v>133</v>
      </c>
      <c r="C21" s="11" t="s">
        <v>201</v>
      </c>
      <c r="D21" s="11" t="s">
        <v>943</v>
      </c>
      <c r="E21" s="11">
        <v>1</v>
      </c>
    </row>
    <row r="22" spans="1:5" ht="24.75">
      <c r="A22" s="11" t="s">
        <v>237</v>
      </c>
      <c r="B22" s="11" t="s">
        <v>133</v>
      </c>
      <c r="C22" s="11" t="s">
        <v>201</v>
      </c>
      <c r="D22" s="11" t="s">
        <v>944</v>
      </c>
      <c r="E22" s="11">
        <v>1</v>
      </c>
    </row>
    <row r="23" spans="1:5" ht="24.75">
      <c r="A23" s="11" t="s">
        <v>237</v>
      </c>
      <c r="B23" s="11" t="s">
        <v>133</v>
      </c>
      <c r="C23" s="11" t="s">
        <v>201</v>
      </c>
      <c r="D23" s="11" t="s">
        <v>945</v>
      </c>
      <c r="E23" s="11">
        <v>1</v>
      </c>
    </row>
    <row r="24" spans="1:5" ht="24.75">
      <c r="A24" s="11" t="s">
        <v>237</v>
      </c>
      <c r="B24" s="11" t="s">
        <v>133</v>
      </c>
      <c r="C24" s="11" t="s">
        <v>201</v>
      </c>
      <c r="D24" s="11" t="s">
        <v>946</v>
      </c>
      <c r="E24" s="11">
        <v>1</v>
      </c>
    </row>
    <row r="25" spans="1:5" ht="24.75">
      <c r="A25" s="11" t="s">
        <v>237</v>
      </c>
      <c r="B25" s="11" t="s">
        <v>133</v>
      </c>
      <c r="C25" s="11" t="s">
        <v>201</v>
      </c>
      <c r="D25" s="11" t="s">
        <v>947</v>
      </c>
      <c r="E25" s="11">
        <v>1</v>
      </c>
    </row>
    <row r="26" spans="1:5" ht="24.75">
      <c r="A26" s="11" t="s">
        <v>237</v>
      </c>
      <c r="B26" s="11" t="s">
        <v>133</v>
      </c>
      <c r="C26" s="11" t="s">
        <v>201</v>
      </c>
      <c r="D26" s="11" t="s">
        <v>948</v>
      </c>
      <c r="E26" s="11">
        <v>1</v>
      </c>
    </row>
    <row r="27" spans="1:5" ht="24.75">
      <c r="A27" s="11" t="s">
        <v>237</v>
      </c>
      <c r="B27" s="11" t="s">
        <v>133</v>
      </c>
      <c r="C27" s="11" t="s">
        <v>201</v>
      </c>
      <c r="D27" s="11" t="s">
        <v>949</v>
      </c>
      <c r="E27" s="11">
        <v>1</v>
      </c>
    </row>
    <row r="28" spans="1:5" ht="24.75">
      <c r="A28" s="11" t="s">
        <v>237</v>
      </c>
      <c r="B28" s="11" t="s">
        <v>133</v>
      </c>
      <c r="C28" s="11" t="s">
        <v>201</v>
      </c>
      <c r="D28" s="11" t="s">
        <v>950</v>
      </c>
      <c r="E28" s="11">
        <v>1</v>
      </c>
    </row>
    <row r="29" spans="1:5">
      <c r="A29" s="1" t="s">
        <v>126</v>
      </c>
      <c r="B29" s="1" t="s">
        <v>126</v>
      </c>
      <c r="C29" s="1">
        <f>SUBTOTAL(103,Elements138161[Elemento])</f>
        <v>22</v>
      </c>
      <c r="D29" s="1" t="s">
        <v>126</v>
      </c>
      <c r="E29" s="1">
        <f>SUBTOTAL(109,Elements138161[Totais:])</f>
        <v>22</v>
      </c>
    </row>
    <row r="32" spans="1:5">
      <c r="A32" s="23" t="s">
        <v>77</v>
      </c>
      <c r="B32" s="23" t="s">
        <v>77</v>
      </c>
      <c r="C32" s="23" t="s">
        <v>77</v>
      </c>
      <c r="D32" s="23" t="s">
        <v>77</v>
      </c>
      <c r="E32" s="23" t="s">
        <v>77</v>
      </c>
    </row>
    <row r="33" spans="1:5">
      <c r="A33" s="23" t="s">
        <v>77</v>
      </c>
      <c r="B33" s="23" t="s">
        <v>77</v>
      </c>
      <c r="C33" s="23" t="s">
        <v>77</v>
      </c>
      <c r="D33" s="23" t="s">
        <v>77</v>
      </c>
      <c r="E33" s="23" t="s">
        <v>77</v>
      </c>
    </row>
    <row r="35" spans="1:5">
      <c r="A35" s="18" t="s">
        <v>175</v>
      </c>
      <c r="B35" s="18" t="s">
        <v>175</v>
      </c>
      <c r="C35" s="18" t="s">
        <v>175</v>
      </c>
      <c r="D35" s="18" t="s">
        <v>175</v>
      </c>
      <c r="E35" s="18" t="s">
        <v>175</v>
      </c>
    </row>
    <row r="36" spans="1:5">
      <c r="A36" s="24" t="s">
        <v>126</v>
      </c>
      <c r="B36" s="24" t="s">
        <v>126</v>
      </c>
      <c r="C36" s="24" t="s">
        <v>126</v>
      </c>
      <c r="D36" s="24" t="s">
        <v>126</v>
      </c>
      <c r="E36" s="24" t="s">
        <v>126</v>
      </c>
    </row>
    <row r="37" spans="1:5">
      <c r="A37" s="10" t="s">
        <v>232</v>
      </c>
      <c r="B37" s="10" t="s">
        <v>233</v>
      </c>
      <c r="C37" s="10" t="s">
        <v>234</v>
      </c>
      <c r="D37" s="10" t="s">
        <v>235</v>
      </c>
      <c r="E37" s="10" t="s">
        <v>236</v>
      </c>
    </row>
    <row r="38" spans="1:5" ht="24.75">
      <c r="A38" s="11" t="s">
        <v>237</v>
      </c>
      <c r="B38" s="11" t="s">
        <v>133</v>
      </c>
      <c r="C38" s="11" t="s">
        <v>202</v>
      </c>
      <c r="D38" s="11" t="s">
        <v>951</v>
      </c>
      <c r="E38" s="11">
        <v>1</v>
      </c>
    </row>
    <row r="39" spans="1:5" ht="24.75">
      <c r="A39" s="11" t="s">
        <v>237</v>
      </c>
      <c r="B39" s="11" t="s">
        <v>133</v>
      </c>
      <c r="C39" s="11" t="s">
        <v>202</v>
      </c>
      <c r="D39" s="11" t="s">
        <v>952</v>
      </c>
      <c r="E39" s="11">
        <v>1</v>
      </c>
    </row>
    <row r="40" spans="1:5" ht="24.75">
      <c r="A40" s="11" t="s">
        <v>237</v>
      </c>
      <c r="B40" s="11" t="s">
        <v>133</v>
      </c>
      <c r="C40" s="11" t="s">
        <v>202</v>
      </c>
      <c r="D40" s="11" t="s">
        <v>953</v>
      </c>
      <c r="E40" s="11">
        <v>1</v>
      </c>
    </row>
    <row r="41" spans="1:5" ht="24.75">
      <c r="A41" s="11" t="s">
        <v>237</v>
      </c>
      <c r="B41" s="11" t="s">
        <v>133</v>
      </c>
      <c r="C41" s="11" t="s">
        <v>202</v>
      </c>
      <c r="D41" s="11" t="s">
        <v>954</v>
      </c>
      <c r="E41" s="11">
        <v>1</v>
      </c>
    </row>
    <row r="42" spans="1:5" ht="24.75">
      <c r="A42" s="11" t="s">
        <v>237</v>
      </c>
      <c r="B42" s="11" t="s">
        <v>133</v>
      </c>
      <c r="C42" s="11" t="s">
        <v>202</v>
      </c>
      <c r="D42" s="11" t="s">
        <v>955</v>
      </c>
      <c r="E42" s="11">
        <v>1</v>
      </c>
    </row>
    <row r="43" spans="1:5" ht="24.75">
      <c r="A43" s="11" t="s">
        <v>237</v>
      </c>
      <c r="B43" s="11" t="s">
        <v>133</v>
      </c>
      <c r="C43" s="11" t="s">
        <v>202</v>
      </c>
      <c r="D43" s="11" t="s">
        <v>956</v>
      </c>
      <c r="E43" s="11">
        <v>1</v>
      </c>
    </row>
    <row r="44" spans="1:5" ht="24.75">
      <c r="A44" s="11" t="s">
        <v>237</v>
      </c>
      <c r="B44" s="11" t="s">
        <v>133</v>
      </c>
      <c r="C44" s="11" t="s">
        <v>202</v>
      </c>
      <c r="D44" s="11" t="s">
        <v>957</v>
      </c>
      <c r="E44" s="11">
        <v>1</v>
      </c>
    </row>
    <row r="45" spans="1:5" ht="24.75">
      <c r="A45" s="11" t="s">
        <v>237</v>
      </c>
      <c r="B45" s="11" t="s">
        <v>133</v>
      </c>
      <c r="C45" s="11" t="s">
        <v>202</v>
      </c>
      <c r="D45" s="11" t="s">
        <v>958</v>
      </c>
      <c r="E45" s="11">
        <v>1</v>
      </c>
    </row>
    <row r="46" spans="1:5" ht="24.75">
      <c r="A46" s="11" t="s">
        <v>237</v>
      </c>
      <c r="B46" s="11" t="s">
        <v>133</v>
      </c>
      <c r="C46" s="11" t="s">
        <v>202</v>
      </c>
      <c r="D46" s="11" t="s">
        <v>959</v>
      </c>
      <c r="E46" s="11">
        <v>1</v>
      </c>
    </row>
    <row r="47" spans="1:5" ht="24.75">
      <c r="A47" s="11" t="s">
        <v>237</v>
      </c>
      <c r="B47" s="11" t="s">
        <v>133</v>
      </c>
      <c r="C47" s="11" t="s">
        <v>202</v>
      </c>
      <c r="D47" s="11" t="s">
        <v>960</v>
      </c>
      <c r="E47" s="11">
        <v>1</v>
      </c>
    </row>
    <row r="48" spans="1:5" ht="24.75">
      <c r="A48" s="11" t="s">
        <v>237</v>
      </c>
      <c r="B48" s="11" t="s">
        <v>133</v>
      </c>
      <c r="C48" s="11" t="s">
        <v>202</v>
      </c>
      <c r="D48" s="11" t="s">
        <v>961</v>
      </c>
      <c r="E48" s="11">
        <v>1</v>
      </c>
    </row>
    <row r="49" spans="1:5" ht="24.75">
      <c r="A49" s="11" t="s">
        <v>237</v>
      </c>
      <c r="B49" s="11" t="s">
        <v>133</v>
      </c>
      <c r="C49" s="11" t="s">
        <v>202</v>
      </c>
      <c r="D49" s="11" t="s">
        <v>962</v>
      </c>
      <c r="E49" s="11">
        <v>1</v>
      </c>
    </row>
    <row r="50" spans="1:5" ht="24.75">
      <c r="A50" s="11" t="s">
        <v>237</v>
      </c>
      <c r="B50" s="11" t="s">
        <v>133</v>
      </c>
      <c r="C50" s="11" t="s">
        <v>202</v>
      </c>
      <c r="D50" s="11" t="s">
        <v>963</v>
      </c>
      <c r="E50" s="11">
        <v>1</v>
      </c>
    </row>
    <row r="51" spans="1:5" ht="24.75">
      <c r="A51" s="11" t="s">
        <v>237</v>
      </c>
      <c r="B51" s="11" t="s">
        <v>133</v>
      </c>
      <c r="C51" s="11" t="s">
        <v>202</v>
      </c>
      <c r="D51" s="11" t="s">
        <v>964</v>
      </c>
      <c r="E51" s="11">
        <v>1</v>
      </c>
    </row>
    <row r="52" spans="1:5" ht="24.75">
      <c r="A52" s="11" t="s">
        <v>237</v>
      </c>
      <c r="B52" s="11" t="s">
        <v>133</v>
      </c>
      <c r="C52" s="11" t="s">
        <v>202</v>
      </c>
      <c r="D52" s="11" t="s">
        <v>965</v>
      </c>
      <c r="E52" s="11">
        <v>1</v>
      </c>
    </row>
    <row r="53" spans="1:5" ht="24.75">
      <c r="A53" s="11" t="s">
        <v>237</v>
      </c>
      <c r="B53" s="11" t="s">
        <v>133</v>
      </c>
      <c r="C53" s="11" t="s">
        <v>202</v>
      </c>
      <c r="D53" s="11" t="s">
        <v>966</v>
      </c>
      <c r="E53" s="11">
        <v>1</v>
      </c>
    </row>
    <row r="54" spans="1:5" ht="24.75">
      <c r="A54" s="11" t="s">
        <v>237</v>
      </c>
      <c r="B54" s="11" t="s">
        <v>133</v>
      </c>
      <c r="C54" s="11" t="s">
        <v>202</v>
      </c>
      <c r="D54" s="11" t="s">
        <v>967</v>
      </c>
      <c r="E54" s="11">
        <v>1</v>
      </c>
    </row>
    <row r="55" spans="1:5" ht="24.75">
      <c r="A55" s="11" t="s">
        <v>237</v>
      </c>
      <c r="B55" s="11" t="s">
        <v>133</v>
      </c>
      <c r="C55" s="11" t="s">
        <v>202</v>
      </c>
      <c r="D55" s="11" t="s">
        <v>968</v>
      </c>
      <c r="E55" s="11">
        <v>1</v>
      </c>
    </row>
    <row r="56" spans="1:5" ht="24.75">
      <c r="A56" s="11" t="s">
        <v>237</v>
      </c>
      <c r="B56" s="11" t="s">
        <v>133</v>
      </c>
      <c r="C56" s="11" t="s">
        <v>202</v>
      </c>
      <c r="D56" s="11" t="s">
        <v>969</v>
      </c>
      <c r="E56" s="11">
        <v>1</v>
      </c>
    </row>
    <row r="57" spans="1:5" ht="24.75">
      <c r="A57" s="11" t="s">
        <v>237</v>
      </c>
      <c r="B57" s="11" t="s">
        <v>133</v>
      </c>
      <c r="C57" s="11" t="s">
        <v>202</v>
      </c>
      <c r="D57" s="11" t="s">
        <v>970</v>
      </c>
      <c r="E57" s="11">
        <v>1</v>
      </c>
    </row>
    <row r="58" spans="1:5" ht="24.75">
      <c r="A58" s="11" t="s">
        <v>237</v>
      </c>
      <c r="B58" s="11" t="s">
        <v>133</v>
      </c>
      <c r="C58" s="11" t="s">
        <v>202</v>
      </c>
      <c r="D58" s="11" t="s">
        <v>971</v>
      </c>
      <c r="E58" s="11">
        <v>1</v>
      </c>
    </row>
    <row r="59" spans="1:5" ht="24.75">
      <c r="A59" s="11" t="s">
        <v>237</v>
      </c>
      <c r="B59" s="11" t="s">
        <v>133</v>
      </c>
      <c r="C59" s="11" t="s">
        <v>202</v>
      </c>
      <c r="D59" s="11" t="s">
        <v>972</v>
      </c>
      <c r="E59" s="11">
        <v>1</v>
      </c>
    </row>
    <row r="60" spans="1:5" ht="24.75">
      <c r="A60" s="11" t="s">
        <v>237</v>
      </c>
      <c r="B60" s="11" t="s">
        <v>133</v>
      </c>
      <c r="C60" s="11" t="s">
        <v>202</v>
      </c>
      <c r="D60" s="11" t="s">
        <v>973</v>
      </c>
      <c r="E60" s="11">
        <v>1</v>
      </c>
    </row>
    <row r="61" spans="1:5" ht="24.75">
      <c r="A61" s="11" t="s">
        <v>237</v>
      </c>
      <c r="B61" s="11" t="s">
        <v>133</v>
      </c>
      <c r="C61" s="11" t="s">
        <v>202</v>
      </c>
      <c r="D61" s="11" t="s">
        <v>974</v>
      </c>
      <c r="E61" s="11">
        <v>1</v>
      </c>
    </row>
    <row r="62" spans="1:5" ht="24.75">
      <c r="A62" s="11" t="s">
        <v>237</v>
      </c>
      <c r="B62" s="11" t="s">
        <v>133</v>
      </c>
      <c r="C62" s="11" t="s">
        <v>202</v>
      </c>
      <c r="D62" s="11" t="s">
        <v>975</v>
      </c>
      <c r="E62" s="11">
        <v>1</v>
      </c>
    </row>
    <row r="63" spans="1:5" ht="24.75">
      <c r="A63" s="11" t="s">
        <v>237</v>
      </c>
      <c r="B63" s="11" t="s">
        <v>133</v>
      </c>
      <c r="C63" s="11" t="s">
        <v>202</v>
      </c>
      <c r="D63" s="11" t="s">
        <v>976</v>
      </c>
      <c r="E63" s="11">
        <v>1</v>
      </c>
    </row>
    <row r="64" spans="1:5" ht="24.75">
      <c r="A64" s="11" t="s">
        <v>237</v>
      </c>
      <c r="B64" s="11" t="s">
        <v>133</v>
      </c>
      <c r="C64" s="11" t="s">
        <v>202</v>
      </c>
      <c r="D64" s="11" t="s">
        <v>977</v>
      </c>
      <c r="E64" s="11">
        <v>1</v>
      </c>
    </row>
    <row r="65" spans="1:5" ht="24.75">
      <c r="A65" s="11" t="s">
        <v>237</v>
      </c>
      <c r="B65" s="11" t="s">
        <v>133</v>
      </c>
      <c r="C65" s="11" t="s">
        <v>202</v>
      </c>
      <c r="D65" s="11" t="s">
        <v>978</v>
      </c>
      <c r="E65" s="11">
        <v>1</v>
      </c>
    </row>
    <row r="66" spans="1:5" ht="24.75">
      <c r="A66" s="11" t="s">
        <v>237</v>
      </c>
      <c r="B66" s="11" t="s">
        <v>133</v>
      </c>
      <c r="C66" s="11" t="s">
        <v>202</v>
      </c>
      <c r="D66" s="11" t="s">
        <v>979</v>
      </c>
      <c r="E66" s="11">
        <v>1</v>
      </c>
    </row>
    <row r="67" spans="1:5" ht="24.75">
      <c r="A67" s="11" t="s">
        <v>237</v>
      </c>
      <c r="B67" s="11" t="s">
        <v>133</v>
      </c>
      <c r="C67" s="11" t="s">
        <v>202</v>
      </c>
      <c r="D67" s="11" t="s">
        <v>980</v>
      </c>
      <c r="E67" s="11">
        <v>1</v>
      </c>
    </row>
    <row r="68" spans="1:5" ht="24.75">
      <c r="A68" s="11" t="s">
        <v>237</v>
      </c>
      <c r="B68" s="11" t="s">
        <v>133</v>
      </c>
      <c r="C68" s="11" t="s">
        <v>202</v>
      </c>
      <c r="D68" s="11" t="s">
        <v>981</v>
      </c>
      <c r="E68" s="11">
        <v>1</v>
      </c>
    </row>
    <row r="69" spans="1:5" ht="24.75">
      <c r="A69" s="11" t="s">
        <v>237</v>
      </c>
      <c r="B69" s="11" t="s">
        <v>133</v>
      </c>
      <c r="C69" s="11" t="s">
        <v>202</v>
      </c>
      <c r="D69" s="11" t="s">
        <v>982</v>
      </c>
      <c r="E69" s="11">
        <v>1</v>
      </c>
    </row>
    <row r="70" spans="1:5" ht="24.75">
      <c r="A70" s="11" t="s">
        <v>237</v>
      </c>
      <c r="B70" s="11" t="s">
        <v>133</v>
      </c>
      <c r="C70" s="11" t="s">
        <v>202</v>
      </c>
      <c r="D70" s="11" t="s">
        <v>983</v>
      </c>
      <c r="E70" s="11">
        <v>1</v>
      </c>
    </row>
    <row r="71" spans="1:5" ht="24.75">
      <c r="A71" s="11" t="s">
        <v>237</v>
      </c>
      <c r="B71" s="11" t="s">
        <v>133</v>
      </c>
      <c r="C71" s="11" t="s">
        <v>202</v>
      </c>
      <c r="D71" s="11" t="s">
        <v>984</v>
      </c>
      <c r="E71" s="11">
        <v>1</v>
      </c>
    </row>
    <row r="72" spans="1:5" ht="24.75">
      <c r="A72" s="11" t="s">
        <v>237</v>
      </c>
      <c r="B72" s="11" t="s">
        <v>133</v>
      </c>
      <c r="C72" s="11" t="s">
        <v>202</v>
      </c>
      <c r="D72" s="11" t="s">
        <v>985</v>
      </c>
      <c r="E72" s="11">
        <v>1</v>
      </c>
    </row>
    <row r="73" spans="1:5" ht="24.75">
      <c r="A73" s="11" t="s">
        <v>237</v>
      </c>
      <c r="B73" s="11" t="s">
        <v>133</v>
      </c>
      <c r="C73" s="11" t="s">
        <v>202</v>
      </c>
      <c r="D73" s="11" t="s">
        <v>986</v>
      </c>
      <c r="E73" s="11">
        <v>1</v>
      </c>
    </row>
    <row r="74" spans="1:5" ht="24.75">
      <c r="A74" s="11" t="s">
        <v>237</v>
      </c>
      <c r="B74" s="11" t="s">
        <v>133</v>
      </c>
      <c r="C74" s="11" t="s">
        <v>202</v>
      </c>
      <c r="D74" s="11" t="s">
        <v>987</v>
      </c>
      <c r="E74" s="11">
        <v>1</v>
      </c>
    </row>
    <row r="75" spans="1:5" ht="24.75">
      <c r="A75" s="11" t="s">
        <v>237</v>
      </c>
      <c r="B75" s="11" t="s">
        <v>133</v>
      </c>
      <c r="C75" s="11" t="s">
        <v>202</v>
      </c>
      <c r="D75" s="11" t="s">
        <v>988</v>
      </c>
      <c r="E75" s="11">
        <v>1</v>
      </c>
    </row>
    <row r="76" spans="1:5" ht="24.75">
      <c r="A76" s="11" t="s">
        <v>237</v>
      </c>
      <c r="B76" s="11" t="s">
        <v>133</v>
      </c>
      <c r="C76" s="11" t="s">
        <v>202</v>
      </c>
      <c r="D76" s="11" t="s">
        <v>989</v>
      </c>
      <c r="E76" s="11">
        <v>1</v>
      </c>
    </row>
    <row r="77" spans="1:5" ht="24.75">
      <c r="A77" s="11" t="s">
        <v>237</v>
      </c>
      <c r="B77" s="11" t="s">
        <v>133</v>
      </c>
      <c r="C77" s="11" t="s">
        <v>202</v>
      </c>
      <c r="D77" s="11" t="s">
        <v>990</v>
      </c>
      <c r="E77" s="11">
        <v>1</v>
      </c>
    </row>
    <row r="78" spans="1:5" ht="24.75">
      <c r="A78" s="11" t="s">
        <v>237</v>
      </c>
      <c r="B78" s="11" t="s">
        <v>133</v>
      </c>
      <c r="C78" s="11" t="s">
        <v>202</v>
      </c>
      <c r="D78" s="11" t="s">
        <v>991</v>
      </c>
      <c r="E78" s="11">
        <v>1</v>
      </c>
    </row>
    <row r="79" spans="1:5" ht="24.75">
      <c r="A79" s="11" t="s">
        <v>237</v>
      </c>
      <c r="B79" s="11" t="s">
        <v>133</v>
      </c>
      <c r="C79" s="11" t="s">
        <v>202</v>
      </c>
      <c r="D79" s="11" t="s">
        <v>992</v>
      </c>
      <c r="E79" s="11">
        <v>1</v>
      </c>
    </row>
    <row r="80" spans="1:5" ht="24.75">
      <c r="A80" s="11" t="s">
        <v>237</v>
      </c>
      <c r="B80" s="11" t="s">
        <v>133</v>
      </c>
      <c r="C80" s="11" t="s">
        <v>202</v>
      </c>
      <c r="D80" s="11" t="s">
        <v>993</v>
      </c>
      <c r="E80" s="11">
        <v>1</v>
      </c>
    </row>
    <row r="81" spans="1:5" ht="24.75">
      <c r="A81" s="11" t="s">
        <v>237</v>
      </c>
      <c r="B81" s="11" t="s">
        <v>133</v>
      </c>
      <c r="C81" s="11" t="s">
        <v>202</v>
      </c>
      <c r="D81" s="11" t="s">
        <v>994</v>
      </c>
      <c r="E81" s="11">
        <v>1</v>
      </c>
    </row>
    <row r="82" spans="1:5" ht="24.75">
      <c r="A82" s="11" t="s">
        <v>237</v>
      </c>
      <c r="B82" s="11" t="s">
        <v>133</v>
      </c>
      <c r="C82" s="11" t="s">
        <v>202</v>
      </c>
      <c r="D82" s="11" t="s">
        <v>995</v>
      </c>
      <c r="E82" s="11">
        <v>1</v>
      </c>
    </row>
    <row r="83" spans="1:5">
      <c r="A83" s="1" t="s">
        <v>126</v>
      </c>
      <c r="B83" s="1" t="s">
        <v>126</v>
      </c>
      <c r="C83" s="1">
        <f>SUBTOTAL(103,Elements138162[Elemento])</f>
        <v>45</v>
      </c>
      <c r="D83" s="1" t="s">
        <v>126</v>
      </c>
      <c r="E83" s="1">
        <f>SUBTOTAL(109,Elements138162[Totais:])</f>
        <v>45</v>
      </c>
    </row>
  </sheetData>
  <mergeCells count="6">
    <mergeCell ref="A36:E36"/>
    <mergeCell ref="A1:E2"/>
    <mergeCell ref="A4:E4"/>
    <mergeCell ref="A5:E5"/>
    <mergeCell ref="A32:E33"/>
    <mergeCell ref="A35:E35"/>
  </mergeCells>
  <hyperlinks>
    <hyperlink ref="A1" location="'13.8.16'!A1" display="TOMADA TIPO RJ45,DE EMBUTIR,COMPLETA,PARA LOGICA.FORNECIMENT O E COLOCACAO" xr:uid="{00000000-0004-0000-2C00-000000000000}"/>
    <hyperlink ref="B1" location="'13.8.16'!A1" display="TOMADA TIPO RJ45,DE EMBUTIR,COMPLETA,PARA LOGICA.FORNECIMENT O E COLOCACAO" xr:uid="{00000000-0004-0000-2C00-000001000000}"/>
    <hyperlink ref="C1" location="'13.8.16'!A1" display="TOMADA TIPO RJ45,DE EMBUTIR,COMPLETA,PARA LOGICA.FORNECIMENT O E COLOCACAO" xr:uid="{00000000-0004-0000-2C00-000002000000}"/>
    <hyperlink ref="D1" location="'13.8.16'!A1" display="TOMADA TIPO RJ45,DE EMBUTIR,COMPLETA,PARA LOGICA.FORNECIMENT O E COLOCACAO" xr:uid="{00000000-0004-0000-2C00-000003000000}"/>
    <hyperlink ref="E1" location="'13.8.16'!A1" display="TOMADA TIPO RJ45,DE EMBUTIR,COMPLETA,PARA LOGICA.FORNECIMENT O E COLOCACAO" xr:uid="{00000000-0004-0000-2C00-000004000000}"/>
    <hyperlink ref="A2" location="'13.8.16'!A1" display="TOMADA TIPO RJ45,DE EMBUTIR,COMPLETA,PARA LOGICA.FORNECIMENT O E COLOCACAO" xr:uid="{00000000-0004-0000-2C00-000005000000}"/>
    <hyperlink ref="B2" location="'13.8.16'!A1" display="TOMADA TIPO RJ45,DE EMBUTIR,COMPLETA,PARA LOGICA.FORNECIMENT O E COLOCACAO" xr:uid="{00000000-0004-0000-2C00-000006000000}"/>
    <hyperlink ref="C2" location="'13.8.16'!A1" display="TOMADA TIPO RJ45,DE EMBUTIR,COMPLETA,PARA LOGICA.FORNECIMENT O E COLOCACAO" xr:uid="{00000000-0004-0000-2C00-000007000000}"/>
    <hyperlink ref="D2" location="'13.8.16'!A1" display="TOMADA TIPO RJ45,DE EMBUTIR,COMPLETA,PARA LOGICA.FORNECIMENT O E COLOCACAO" xr:uid="{00000000-0004-0000-2C00-000008000000}"/>
    <hyperlink ref="E2" location="'13.8.16'!A1" display="TOMADA TIPO RJ45,DE EMBUTIR,COMPLETA,PARA LOGICA.FORNECIMENT O E COLOCACAO" xr:uid="{00000000-0004-0000-2C00-000009000000}"/>
    <hyperlink ref="A4" location="'13.8.16'!A1" display="Dispositivos de dados (A1)" xr:uid="{00000000-0004-0000-2C00-00000A000000}"/>
    <hyperlink ref="B4" location="'13.8.16'!A1" display="Dispositivos de dados (A1)" xr:uid="{00000000-0004-0000-2C00-00000B000000}"/>
    <hyperlink ref="C4" location="'13.8.16'!A1" display="Dispositivos de dados (A1)" xr:uid="{00000000-0004-0000-2C00-00000C000000}"/>
    <hyperlink ref="D4" location="'13.8.16'!A1" display="Dispositivos de dados (A1)" xr:uid="{00000000-0004-0000-2C00-00000D000000}"/>
    <hyperlink ref="E4" location="'13.8.16'!A1" display="Dispositivos de dados (A1)" xr:uid="{00000000-0004-0000-2C00-00000E000000}"/>
    <hyperlink ref="A32" location="'13.8.16'!A1" display="TOMADA TIPO RJ45,DE EMBUTIR,COMPLETA,PARA LOGICA.FORNECIMENT O E COLOCACAO" xr:uid="{00000000-0004-0000-2C00-00000F000000}"/>
    <hyperlink ref="B32" location="'13.8.16'!A1" display="TOMADA TIPO RJ45,DE EMBUTIR,COMPLETA,PARA LOGICA.FORNECIMENT O E COLOCACAO" xr:uid="{00000000-0004-0000-2C00-000010000000}"/>
    <hyperlink ref="C32" location="'13.8.16'!A1" display="TOMADA TIPO RJ45,DE EMBUTIR,COMPLETA,PARA LOGICA.FORNECIMENT O E COLOCACAO" xr:uid="{00000000-0004-0000-2C00-000011000000}"/>
    <hyperlink ref="D32" location="'13.8.16'!A1" display="TOMADA TIPO RJ45,DE EMBUTIR,COMPLETA,PARA LOGICA.FORNECIMENT O E COLOCACAO" xr:uid="{00000000-0004-0000-2C00-000012000000}"/>
    <hyperlink ref="E32" location="'13.8.16'!A1" display="TOMADA TIPO RJ45,DE EMBUTIR,COMPLETA,PARA LOGICA.FORNECIMENT O E COLOCACAO" xr:uid="{00000000-0004-0000-2C00-000013000000}"/>
    <hyperlink ref="A33" location="'13.8.16'!A1" display="TOMADA TIPO RJ45,DE EMBUTIR,COMPLETA,PARA LOGICA.FORNECIMENT O E COLOCACAO" xr:uid="{00000000-0004-0000-2C00-000014000000}"/>
    <hyperlink ref="B33" location="'13.8.16'!A1" display="TOMADA TIPO RJ45,DE EMBUTIR,COMPLETA,PARA LOGICA.FORNECIMENT O E COLOCACAO" xr:uid="{00000000-0004-0000-2C00-000015000000}"/>
    <hyperlink ref="C33" location="'13.8.16'!A1" display="TOMADA TIPO RJ45,DE EMBUTIR,COMPLETA,PARA LOGICA.FORNECIMENT O E COLOCACAO" xr:uid="{00000000-0004-0000-2C00-000016000000}"/>
    <hyperlink ref="D33" location="'13.8.16'!A1" display="TOMADA TIPO RJ45,DE EMBUTIR,COMPLETA,PARA LOGICA.FORNECIMENT O E COLOCACAO" xr:uid="{00000000-0004-0000-2C00-000017000000}"/>
    <hyperlink ref="E33" location="'13.8.16'!A1" display="TOMADA TIPO RJ45,DE EMBUTIR,COMPLETA,PARA LOGICA.FORNECIMENT O E COLOCACAO" xr:uid="{00000000-0004-0000-2C00-000018000000}"/>
    <hyperlink ref="A35" location="'13.8.16'!A1" display="Dispositivos de dados (A1)" xr:uid="{00000000-0004-0000-2C00-000019000000}"/>
    <hyperlink ref="B35" location="'13.8.16'!A1" display="Dispositivos de dados (A1)" xr:uid="{00000000-0004-0000-2C00-00001A000000}"/>
    <hyperlink ref="C35" location="'13.8.16'!A1" display="Dispositivos de dados (A1)" xr:uid="{00000000-0004-0000-2C00-00001B000000}"/>
    <hyperlink ref="D35" location="'13.8.16'!A1" display="Dispositivos de dados (A1)" xr:uid="{00000000-0004-0000-2C00-00001C000000}"/>
    <hyperlink ref="E35" location="'13.8.16'!A1" display="Dispositivos de dados (A1)" xr:uid="{00000000-0004-0000-2C00-00001D000000}"/>
  </hyperlinks>
  <pageMargins left="0.511811024" right="0.511811024" top="0.78740157499999996" bottom="0.78740157499999996" header="0.31496062000000002" footer="0.31496062000000002"/>
  <tableParts count="2">
    <tablePart r:id="rId1"/>
    <tablePart r:id="rId2"/>
  </tableParts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dimension ref="A1:E29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81</v>
      </c>
      <c r="B1" s="23" t="s">
        <v>81</v>
      </c>
      <c r="C1" s="23" t="s">
        <v>81</v>
      </c>
      <c r="D1" s="23" t="s">
        <v>81</v>
      </c>
      <c r="E1" s="23" t="s">
        <v>81</v>
      </c>
    </row>
    <row r="2" spans="1:5">
      <c r="A2" s="23" t="s">
        <v>81</v>
      </c>
      <c r="B2" s="23" t="s">
        <v>81</v>
      </c>
      <c r="C2" s="23" t="s">
        <v>81</v>
      </c>
      <c r="D2" s="23" t="s">
        <v>81</v>
      </c>
      <c r="E2" s="23" t="s">
        <v>81</v>
      </c>
    </row>
    <row r="4" spans="1:5">
      <c r="A4" s="18" t="s">
        <v>204</v>
      </c>
      <c r="B4" s="18" t="s">
        <v>204</v>
      </c>
      <c r="C4" s="18" t="s">
        <v>204</v>
      </c>
      <c r="D4" s="18" t="s">
        <v>204</v>
      </c>
      <c r="E4" s="18" t="s">
        <v>204</v>
      </c>
    </row>
    <row r="5" spans="1:5">
      <c r="A5" s="24" t="s">
        <v>126</v>
      </c>
      <c r="B5" s="24" t="s">
        <v>126</v>
      </c>
      <c r="C5" s="24" t="s">
        <v>126</v>
      </c>
      <c r="D5" s="24" t="s">
        <v>126</v>
      </c>
      <c r="E5" s="24" t="s">
        <v>126</v>
      </c>
    </row>
    <row r="6" spans="1:5">
      <c r="A6" s="10" t="s">
        <v>232</v>
      </c>
      <c r="B6" s="10" t="s">
        <v>233</v>
      </c>
      <c r="C6" s="10" t="s">
        <v>234</v>
      </c>
      <c r="D6" s="10" t="s">
        <v>235</v>
      </c>
      <c r="E6" s="10" t="s">
        <v>236</v>
      </c>
    </row>
    <row r="7" spans="1:5" ht="24.75">
      <c r="A7" s="11" t="s">
        <v>237</v>
      </c>
      <c r="B7" s="11" t="s">
        <v>133</v>
      </c>
      <c r="C7" s="11" t="s">
        <v>201</v>
      </c>
      <c r="D7" s="11" t="s">
        <v>929</v>
      </c>
      <c r="E7" s="11">
        <v>1</v>
      </c>
    </row>
    <row r="8" spans="1:5" ht="24.75">
      <c r="A8" s="11" t="s">
        <v>237</v>
      </c>
      <c r="B8" s="11" t="s">
        <v>133</v>
      </c>
      <c r="C8" s="11" t="s">
        <v>201</v>
      </c>
      <c r="D8" s="11" t="s">
        <v>930</v>
      </c>
      <c r="E8" s="11">
        <v>1</v>
      </c>
    </row>
    <row r="9" spans="1:5" ht="24.75">
      <c r="A9" s="11" t="s">
        <v>237</v>
      </c>
      <c r="B9" s="11" t="s">
        <v>133</v>
      </c>
      <c r="C9" s="11" t="s">
        <v>201</v>
      </c>
      <c r="D9" s="11" t="s">
        <v>931</v>
      </c>
      <c r="E9" s="11">
        <v>1</v>
      </c>
    </row>
    <row r="10" spans="1:5" ht="24.75">
      <c r="A10" s="11" t="s">
        <v>237</v>
      </c>
      <c r="B10" s="11" t="s">
        <v>133</v>
      </c>
      <c r="C10" s="11" t="s">
        <v>201</v>
      </c>
      <c r="D10" s="11" t="s">
        <v>932</v>
      </c>
      <c r="E10" s="11">
        <v>1</v>
      </c>
    </row>
    <row r="11" spans="1:5" ht="24.75">
      <c r="A11" s="11" t="s">
        <v>237</v>
      </c>
      <c r="B11" s="11" t="s">
        <v>133</v>
      </c>
      <c r="C11" s="11" t="s">
        <v>201</v>
      </c>
      <c r="D11" s="11" t="s">
        <v>933</v>
      </c>
      <c r="E11" s="11">
        <v>1</v>
      </c>
    </row>
    <row r="12" spans="1:5" ht="24.75">
      <c r="A12" s="11" t="s">
        <v>237</v>
      </c>
      <c r="B12" s="11" t="s">
        <v>133</v>
      </c>
      <c r="C12" s="11" t="s">
        <v>201</v>
      </c>
      <c r="D12" s="11" t="s">
        <v>934</v>
      </c>
      <c r="E12" s="11">
        <v>1</v>
      </c>
    </row>
    <row r="13" spans="1:5" ht="24.75">
      <c r="A13" s="11" t="s">
        <v>237</v>
      </c>
      <c r="B13" s="11" t="s">
        <v>133</v>
      </c>
      <c r="C13" s="11" t="s">
        <v>201</v>
      </c>
      <c r="D13" s="11" t="s">
        <v>935</v>
      </c>
      <c r="E13" s="11">
        <v>1</v>
      </c>
    </row>
    <row r="14" spans="1:5" ht="24.75">
      <c r="A14" s="11" t="s">
        <v>237</v>
      </c>
      <c r="B14" s="11" t="s">
        <v>133</v>
      </c>
      <c r="C14" s="11" t="s">
        <v>201</v>
      </c>
      <c r="D14" s="11" t="s">
        <v>936</v>
      </c>
      <c r="E14" s="11">
        <v>1</v>
      </c>
    </row>
    <row r="15" spans="1:5" ht="24.75">
      <c r="A15" s="11" t="s">
        <v>237</v>
      </c>
      <c r="B15" s="11" t="s">
        <v>133</v>
      </c>
      <c r="C15" s="11" t="s">
        <v>201</v>
      </c>
      <c r="D15" s="11" t="s">
        <v>937</v>
      </c>
      <c r="E15" s="11">
        <v>1</v>
      </c>
    </row>
    <row r="16" spans="1:5" ht="24.75">
      <c r="A16" s="11" t="s">
        <v>237</v>
      </c>
      <c r="B16" s="11" t="s">
        <v>133</v>
      </c>
      <c r="C16" s="11" t="s">
        <v>201</v>
      </c>
      <c r="D16" s="11" t="s">
        <v>938</v>
      </c>
      <c r="E16" s="11">
        <v>1</v>
      </c>
    </row>
    <row r="17" spans="1:5" ht="24.75">
      <c r="A17" s="11" t="s">
        <v>237</v>
      </c>
      <c r="B17" s="11" t="s">
        <v>133</v>
      </c>
      <c r="C17" s="11" t="s">
        <v>201</v>
      </c>
      <c r="D17" s="11" t="s">
        <v>939</v>
      </c>
      <c r="E17" s="11">
        <v>1</v>
      </c>
    </row>
    <row r="18" spans="1:5" ht="24.75">
      <c r="A18" s="11" t="s">
        <v>237</v>
      </c>
      <c r="B18" s="11" t="s">
        <v>133</v>
      </c>
      <c r="C18" s="11" t="s">
        <v>201</v>
      </c>
      <c r="D18" s="11" t="s">
        <v>940</v>
      </c>
      <c r="E18" s="11">
        <v>1</v>
      </c>
    </row>
    <row r="19" spans="1:5" ht="24.75">
      <c r="A19" s="11" t="s">
        <v>237</v>
      </c>
      <c r="B19" s="11" t="s">
        <v>133</v>
      </c>
      <c r="C19" s="11" t="s">
        <v>201</v>
      </c>
      <c r="D19" s="11" t="s">
        <v>941</v>
      </c>
      <c r="E19" s="11">
        <v>1</v>
      </c>
    </row>
    <row r="20" spans="1:5" ht="24.75">
      <c r="A20" s="11" t="s">
        <v>237</v>
      </c>
      <c r="B20" s="11" t="s">
        <v>133</v>
      </c>
      <c r="C20" s="11" t="s">
        <v>201</v>
      </c>
      <c r="D20" s="11" t="s">
        <v>942</v>
      </c>
      <c r="E20" s="11">
        <v>1</v>
      </c>
    </row>
    <row r="21" spans="1:5" ht="24.75">
      <c r="A21" s="11" t="s">
        <v>237</v>
      </c>
      <c r="B21" s="11" t="s">
        <v>133</v>
      </c>
      <c r="C21" s="11" t="s">
        <v>201</v>
      </c>
      <c r="D21" s="11" t="s">
        <v>943</v>
      </c>
      <c r="E21" s="11">
        <v>1</v>
      </c>
    </row>
    <row r="22" spans="1:5" ht="24.75">
      <c r="A22" s="11" t="s">
        <v>237</v>
      </c>
      <c r="B22" s="11" t="s">
        <v>133</v>
      </c>
      <c r="C22" s="11" t="s">
        <v>201</v>
      </c>
      <c r="D22" s="11" t="s">
        <v>944</v>
      </c>
      <c r="E22" s="11">
        <v>1</v>
      </c>
    </row>
    <row r="23" spans="1:5" ht="24.75">
      <c r="A23" s="11" t="s">
        <v>237</v>
      </c>
      <c r="B23" s="11" t="s">
        <v>133</v>
      </c>
      <c r="C23" s="11" t="s">
        <v>201</v>
      </c>
      <c r="D23" s="11" t="s">
        <v>945</v>
      </c>
      <c r="E23" s="11">
        <v>1</v>
      </c>
    </row>
    <row r="24" spans="1:5" ht="24.75">
      <c r="A24" s="11" t="s">
        <v>237</v>
      </c>
      <c r="B24" s="11" t="s">
        <v>133</v>
      </c>
      <c r="C24" s="11" t="s">
        <v>201</v>
      </c>
      <c r="D24" s="11" t="s">
        <v>946</v>
      </c>
      <c r="E24" s="11">
        <v>1</v>
      </c>
    </row>
    <row r="25" spans="1:5" ht="24.75">
      <c r="A25" s="11" t="s">
        <v>237</v>
      </c>
      <c r="B25" s="11" t="s">
        <v>133</v>
      </c>
      <c r="C25" s="11" t="s">
        <v>201</v>
      </c>
      <c r="D25" s="11" t="s">
        <v>947</v>
      </c>
      <c r="E25" s="11">
        <v>1</v>
      </c>
    </row>
    <row r="26" spans="1:5" ht="24.75">
      <c r="A26" s="11" t="s">
        <v>237</v>
      </c>
      <c r="B26" s="11" t="s">
        <v>133</v>
      </c>
      <c r="C26" s="11" t="s">
        <v>201</v>
      </c>
      <c r="D26" s="11" t="s">
        <v>948</v>
      </c>
      <c r="E26" s="11">
        <v>1</v>
      </c>
    </row>
    <row r="27" spans="1:5" ht="24.75">
      <c r="A27" s="11" t="s">
        <v>237</v>
      </c>
      <c r="B27" s="11" t="s">
        <v>133</v>
      </c>
      <c r="C27" s="11" t="s">
        <v>201</v>
      </c>
      <c r="D27" s="11" t="s">
        <v>949</v>
      </c>
      <c r="E27" s="11">
        <v>1</v>
      </c>
    </row>
    <row r="28" spans="1:5" ht="24.75">
      <c r="A28" s="11" t="s">
        <v>237</v>
      </c>
      <c r="B28" s="11" t="s">
        <v>133</v>
      </c>
      <c r="C28" s="11" t="s">
        <v>201</v>
      </c>
      <c r="D28" s="11" t="s">
        <v>950</v>
      </c>
      <c r="E28" s="11">
        <v>1</v>
      </c>
    </row>
    <row r="29" spans="1:5">
      <c r="A29" s="1" t="s">
        <v>126</v>
      </c>
      <c r="B29" s="1" t="s">
        <v>126</v>
      </c>
      <c r="C29" s="1">
        <f>SUBTOTAL(103,Elements138171[Elemento])</f>
        <v>22</v>
      </c>
      <c r="D29" s="1" t="s">
        <v>126</v>
      </c>
      <c r="E29" s="1">
        <f>SUBTOTAL(109,Elements138171[Totais:])</f>
        <v>22</v>
      </c>
    </row>
  </sheetData>
  <mergeCells count="3">
    <mergeCell ref="A1:E2"/>
    <mergeCell ref="A4:E4"/>
    <mergeCell ref="A5:E5"/>
  </mergeCells>
  <hyperlinks>
    <hyperlink ref="A1" location="'13.8.17'!A1" display="ESPELHO / PLACA DE 2 POSTOS 4” X 2”, PARA INSTALACAO DE TOMADAS E INTERRUPTORES" xr:uid="{00000000-0004-0000-2D00-000000000000}"/>
    <hyperlink ref="B1" location="'13.8.17'!A1" display="ESPELHO / PLACA DE 2 POSTOS 4” X 2”, PARA INSTALACAO DE TOMADAS E INTERRUPTORES" xr:uid="{00000000-0004-0000-2D00-000001000000}"/>
    <hyperlink ref="C1" location="'13.8.17'!A1" display="ESPELHO / PLACA DE 2 POSTOS 4” X 2”, PARA INSTALACAO DE TOMADAS E INTERRUPTORES" xr:uid="{00000000-0004-0000-2D00-000002000000}"/>
    <hyperlink ref="D1" location="'13.8.17'!A1" display="ESPELHO / PLACA DE 2 POSTOS 4” X 2”, PARA INSTALACAO DE TOMADAS E INTERRUPTORES" xr:uid="{00000000-0004-0000-2D00-000003000000}"/>
    <hyperlink ref="E1" location="'13.8.17'!A1" display="ESPELHO / PLACA DE 2 POSTOS 4” X 2”, PARA INSTALACAO DE TOMADAS E INTERRUPTORES" xr:uid="{00000000-0004-0000-2D00-000004000000}"/>
    <hyperlink ref="A2" location="'13.8.17'!A1" display="ESPELHO / PLACA DE 2 POSTOS 4” X 2”, PARA INSTALACAO DE TOMADAS E INTERRUPTORES" xr:uid="{00000000-0004-0000-2D00-000005000000}"/>
    <hyperlink ref="B2" location="'13.8.17'!A1" display="ESPELHO / PLACA DE 2 POSTOS 4” X 2”, PARA INSTALACAO DE TOMADAS E INTERRUPTORES" xr:uid="{00000000-0004-0000-2D00-000006000000}"/>
    <hyperlink ref="C2" location="'13.8.17'!A1" display="ESPELHO / PLACA DE 2 POSTOS 4” X 2”, PARA INSTALACAO DE TOMADAS E INTERRUPTORES" xr:uid="{00000000-0004-0000-2D00-000007000000}"/>
    <hyperlink ref="D2" location="'13.8.17'!A1" display="ESPELHO / PLACA DE 2 POSTOS 4” X 2”, PARA INSTALACAO DE TOMADAS E INTERRUPTORES" xr:uid="{00000000-0004-0000-2D00-000008000000}"/>
    <hyperlink ref="E2" location="'13.8.17'!A1" display="ESPELHO / PLACA DE 2 POSTOS 4” X 2”, PARA INSTALACAO DE TOMADAS E INTERRUPTORES" xr:uid="{00000000-0004-0000-2D00-000009000000}"/>
    <hyperlink ref="A4" location="'13.8.17'!A1" display="Dispositivos de dados" xr:uid="{00000000-0004-0000-2D00-00000A000000}"/>
    <hyperlink ref="B4" location="'13.8.17'!A1" display="Dispositivos de dados" xr:uid="{00000000-0004-0000-2D00-00000B000000}"/>
    <hyperlink ref="C4" location="'13.8.17'!A1" display="Dispositivos de dados" xr:uid="{00000000-0004-0000-2D00-00000C000000}"/>
    <hyperlink ref="D4" location="'13.8.17'!A1" display="Dispositivos de dados" xr:uid="{00000000-0004-0000-2D00-00000D000000}"/>
    <hyperlink ref="E4" location="'13.8.17'!A1" display="Dispositivos de dados" xr:uid="{00000000-0004-0000-2D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dimension ref="A1:E12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86</v>
      </c>
      <c r="B1" s="23" t="s">
        <v>86</v>
      </c>
      <c r="C1" s="23" t="s">
        <v>86</v>
      </c>
      <c r="D1" s="23" t="s">
        <v>86</v>
      </c>
      <c r="E1" s="23" t="s">
        <v>86</v>
      </c>
    </row>
    <row r="2" spans="1:5">
      <c r="A2" s="23" t="s">
        <v>86</v>
      </c>
      <c r="B2" s="23" t="s">
        <v>86</v>
      </c>
      <c r="C2" s="23" t="s">
        <v>86</v>
      </c>
      <c r="D2" s="23" t="s">
        <v>86</v>
      </c>
      <c r="E2" s="23" t="s">
        <v>86</v>
      </c>
    </row>
    <row r="4" spans="1:5">
      <c r="A4" s="18" t="s">
        <v>187</v>
      </c>
      <c r="B4" s="18" t="s">
        <v>187</v>
      </c>
      <c r="C4" s="18" t="s">
        <v>187</v>
      </c>
      <c r="D4" s="18" t="s">
        <v>187</v>
      </c>
      <c r="E4" s="18" t="s">
        <v>187</v>
      </c>
    </row>
    <row r="5" spans="1:5">
      <c r="A5" s="24" t="s">
        <v>126</v>
      </c>
      <c r="B5" s="24" t="s">
        <v>126</v>
      </c>
      <c r="C5" s="24" t="s">
        <v>126</v>
      </c>
      <c r="D5" s="24" t="s">
        <v>126</v>
      </c>
      <c r="E5" s="24" t="s">
        <v>126</v>
      </c>
    </row>
    <row r="6" spans="1:5">
      <c r="A6" s="10" t="s">
        <v>232</v>
      </c>
      <c r="B6" s="10" t="s">
        <v>233</v>
      </c>
      <c r="C6" s="10" t="s">
        <v>234</v>
      </c>
      <c r="D6" s="10" t="s">
        <v>235</v>
      </c>
      <c r="E6" s="10" t="s">
        <v>236</v>
      </c>
    </row>
    <row r="7" spans="1:5" ht="24.75">
      <c r="A7" s="11" t="s">
        <v>237</v>
      </c>
      <c r="B7" s="11" t="s">
        <v>133</v>
      </c>
      <c r="C7" s="11" t="s">
        <v>207</v>
      </c>
      <c r="D7" s="11" t="s">
        <v>996</v>
      </c>
      <c r="E7" s="11">
        <v>1</v>
      </c>
    </row>
    <row r="8" spans="1:5" ht="24.75">
      <c r="A8" s="11" t="s">
        <v>237</v>
      </c>
      <c r="B8" s="11" t="s">
        <v>133</v>
      </c>
      <c r="C8" s="11" t="s">
        <v>207</v>
      </c>
      <c r="D8" s="11" t="s">
        <v>997</v>
      </c>
      <c r="E8" s="11">
        <v>1</v>
      </c>
    </row>
    <row r="9" spans="1:5" ht="24.75">
      <c r="A9" s="11" t="s">
        <v>237</v>
      </c>
      <c r="B9" s="11" t="s">
        <v>133</v>
      </c>
      <c r="C9" s="11" t="s">
        <v>207</v>
      </c>
      <c r="D9" s="11" t="s">
        <v>998</v>
      </c>
      <c r="E9" s="11">
        <v>1</v>
      </c>
    </row>
    <row r="10" spans="1:5" ht="24.75">
      <c r="A10" s="11" t="s">
        <v>237</v>
      </c>
      <c r="B10" s="11" t="s">
        <v>133</v>
      </c>
      <c r="C10" s="11" t="s">
        <v>207</v>
      </c>
      <c r="D10" s="11" t="s">
        <v>999</v>
      </c>
      <c r="E10" s="11">
        <v>1</v>
      </c>
    </row>
    <row r="11" spans="1:5" ht="24.75">
      <c r="A11" s="11" t="s">
        <v>237</v>
      </c>
      <c r="B11" s="11" t="s">
        <v>133</v>
      </c>
      <c r="C11" s="11" t="s">
        <v>207</v>
      </c>
      <c r="D11" s="11" t="s">
        <v>1000</v>
      </c>
      <c r="E11" s="11">
        <v>1</v>
      </c>
    </row>
    <row r="12" spans="1:5">
      <c r="A12" s="1" t="s">
        <v>126</v>
      </c>
      <c r="B12" s="1" t="s">
        <v>126</v>
      </c>
      <c r="C12" s="1">
        <f>SUBTOTAL(103,Elements138181[Elemento])</f>
        <v>5</v>
      </c>
      <c r="D12" s="1" t="s">
        <v>126</v>
      </c>
      <c r="E12" s="1">
        <f>SUBTOTAL(109,Elements138181[Totais:])</f>
        <v>5</v>
      </c>
    </row>
  </sheetData>
  <mergeCells count="3">
    <mergeCell ref="A1:E2"/>
    <mergeCell ref="A4:E4"/>
    <mergeCell ref="A5:E5"/>
  </mergeCells>
  <hyperlinks>
    <hyperlink ref="A1" location="'13.8.18'!A1" display="Acess Point Wifi, Frequência 2,4ghz. FORNECIMENTO." xr:uid="{00000000-0004-0000-2E00-000000000000}"/>
    <hyperlink ref="B1" location="'13.8.18'!A1" display="Acess Point Wifi, Frequência 2,4ghz. FORNECIMENTO." xr:uid="{00000000-0004-0000-2E00-000001000000}"/>
    <hyperlink ref="C1" location="'13.8.18'!A1" display="Acess Point Wifi, Frequência 2,4ghz. FORNECIMENTO." xr:uid="{00000000-0004-0000-2E00-000002000000}"/>
    <hyperlink ref="D1" location="'13.8.18'!A1" display="Acess Point Wifi, Frequência 2,4ghz. FORNECIMENTO." xr:uid="{00000000-0004-0000-2E00-000003000000}"/>
    <hyperlink ref="E1" location="'13.8.18'!A1" display="Acess Point Wifi, Frequência 2,4ghz. FORNECIMENTO." xr:uid="{00000000-0004-0000-2E00-000004000000}"/>
    <hyperlink ref="A2" location="'13.8.18'!A1" display="Acess Point Wifi, Frequência 2,4ghz. FORNECIMENTO." xr:uid="{00000000-0004-0000-2E00-000005000000}"/>
    <hyperlink ref="B2" location="'13.8.18'!A1" display="Acess Point Wifi, Frequência 2,4ghz. FORNECIMENTO." xr:uid="{00000000-0004-0000-2E00-000006000000}"/>
    <hyperlink ref="C2" location="'13.8.18'!A1" display="Acess Point Wifi, Frequência 2,4ghz. FORNECIMENTO." xr:uid="{00000000-0004-0000-2E00-000007000000}"/>
    <hyperlink ref="D2" location="'13.8.18'!A1" display="Acess Point Wifi, Frequência 2,4ghz. FORNECIMENTO." xr:uid="{00000000-0004-0000-2E00-000008000000}"/>
    <hyperlink ref="E2" location="'13.8.18'!A1" display="Acess Point Wifi, Frequência 2,4ghz. FORNECIMENTO." xr:uid="{00000000-0004-0000-2E00-000009000000}"/>
    <hyperlink ref="A4" location="'13.8.18'!A1" display="Dispositivos elétricos (ACESS POINT, FREQUENCIA 2,4GHZ)" xr:uid="{00000000-0004-0000-2E00-00000A000000}"/>
    <hyperlink ref="B4" location="'13.8.18'!A1" display="Dispositivos elétricos (ACESS POINT, FREQUENCIA 2,4GHZ)" xr:uid="{00000000-0004-0000-2E00-00000B000000}"/>
    <hyperlink ref="C4" location="'13.8.18'!A1" display="Dispositivos elétricos (ACESS POINT, FREQUENCIA 2,4GHZ)" xr:uid="{00000000-0004-0000-2E00-00000C000000}"/>
    <hyperlink ref="D4" location="'13.8.18'!A1" display="Dispositivos elétricos (ACESS POINT, FREQUENCIA 2,4GHZ)" xr:uid="{00000000-0004-0000-2E00-00000D000000}"/>
    <hyperlink ref="E4" location="'13.8.18'!A1" display="Dispositivos elétricos (ACESS POINT, FREQUENCIA 2,4GHZ)" xr:uid="{00000000-0004-0000-2E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dimension ref="A1:E81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90</v>
      </c>
      <c r="B1" s="23" t="s">
        <v>90</v>
      </c>
      <c r="C1" s="23" t="s">
        <v>90</v>
      </c>
      <c r="D1" s="23" t="s">
        <v>90</v>
      </c>
      <c r="E1" s="23" t="s">
        <v>90</v>
      </c>
    </row>
    <row r="2" spans="1:5">
      <c r="A2" s="23" t="s">
        <v>90</v>
      </c>
      <c r="B2" s="23" t="s">
        <v>90</v>
      </c>
      <c r="C2" s="23" t="s">
        <v>90</v>
      </c>
      <c r="D2" s="23" t="s">
        <v>90</v>
      </c>
      <c r="E2" s="23" t="s">
        <v>90</v>
      </c>
    </row>
    <row r="4" spans="1:5">
      <c r="A4" s="18" t="s">
        <v>209</v>
      </c>
      <c r="B4" s="18" t="s">
        <v>209</v>
      </c>
      <c r="C4" s="18" t="s">
        <v>209</v>
      </c>
      <c r="D4" s="18" t="s">
        <v>209</v>
      </c>
      <c r="E4" s="18" t="s">
        <v>209</v>
      </c>
    </row>
    <row r="5" spans="1:5">
      <c r="A5" s="24" t="s">
        <v>126</v>
      </c>
      <c r="B5" s="24" t="s">
        <v>126</v>
      </c>
      <c r="C5" s="24" t="s">
        <v>126</v>
      </c>
      <c r="D5" s="24" t="s">
        <v>126</v>
      </c>
      <c r="E5" s="24" t="s">
        <v>126</v>
      </c>
    </row>
    <row r="6" spans="1:5">
      <c r="A6" s="10" t="s">
        <v>232</v>
      </c>
      <c r="B6" s="10" t="s">
        <v>233</v>
      </c>
      <c r="C6" s="10" t="s">
        <v>234</v>
      </c>
      <c r="D6" s="10" t="s">
        <v>235</v>
      </c>
      <c r="E6" s="10" t="s">
        <v>236</v>
      </c>
    </row>
    <row r="7" spans="1:5" ht="24.75">
      <c r="A7" s="11" t="s">
        <v>237</v>
      </c>
      <c r="B7" s="11" t="s">
        <v>133</v>
      </c>
      <c r="C7" s="11" t="s">
        <v>210</v>
      </c>
      <c r="D7" s="11" t="s">
        <v>1001</v>
      </c>
      <c r="E7" s="11">
        <v>1</v>
      </c>
    </row>
    <row r="8" spans="1:5" ht="24.75">
      <c r="A8" s="11" t="s">
        <v>237</v>
      </c>
      <c r="B8" s="11" t="s">
        <v>133</v>
      </c>
      <c r="C8" s="11" t="s">
        <v>210</v>
      </c>
      <c r="D8" s="11" t="s">
        <v>1002</v>
      </c>
      <c r="E8" s="11">
        <v>1</v>
      </c>
    </row>
    <row r="9" spans="1:5" ht="24.75">
      <c r="A9" s="11" t="s">
        <v>237</v>
      </c>
      <c r="B9" s="11" t="s">
        <v>133</v>
      </c>
      <c r="C9" s="11" t="s">
        <v>210</v>
      </c>
      <c r="D9" s="11" t="s">
        <v>1003</v>
      </c>
      <c r="E9" s="11">
        <v>1</v>
      </c>
    </row>
    <row r="10" spans="1:5" ht="24.75">
      <c r="A10" s="11" t="s">
        <v>237</v>
      </c>
      <c r="B10" s="11" t="s">
        <v>133</v>
      </c>
      <c r="C10" s="11" t="s">
        <v>210</v>
      </c>
      <c r="D10" s="11" t="s">
        <v>1004</v>
      </c>
      <c r="E10" s="11">
        <v>1</v>
      </c>
    </row>
    <row r="11" spans="1:5" ht="24.75">
      <c r="A11" s="11" t="s">
        <v>237</v>
      </c>
      <c r="B11" s="11" t="s">
        <v>133</v>
      </c>
      <c r="C11" s="11" t="s">
        <v>210</v>
      </c>
      <c r="D11" s="11" t="s">
        <v>1005</v>
      </c>
      <c r="E11" s="11">
        <v>1</v>
      </c>
    </row>
    <row r="12" spans="1:5" ht="24.75">
      <c r="A12" s="11" t="s">
        <v>237</v>
      </c>
      <c r="B12" s="11" t="s">
        <v>133</v>
      </c>
      <c r="C12" s="11" t="s">
        <v>210</v>
      </c>
      <c r="D12" s="11" t="s">
        <v>1006</v>
      </c>
      <c r="E12" s="11">
        <v>1</v>
      </c>
    </row>
    <row r="13" spans="1:5" ht="24.75">
      <c r="A13" s="11" t="s">
        <v>237</v>
      </c>
      <c r="B13" s="11" t="s">
        <v>133</v>
      </c>
      <c r="C13" s="11" t="s">
        <v>210</v>
      </c>
      <c r="D13" s="11" t="s">
        <v>1007</v>
      </c>
      <c r="E13" s="11">
        <v>1</v>
      </c>
    </row>
    <row r="14" spans="1:5" ht="24.75">
      <c r="A14" s="11" t="s">
        <v>237</v>
      </c>
      <c r="B14" s="11" t="s">
        <v>133</v>
      </c>
      <c r="C14" s="11" t="s">
        <v>210</v>
      </c>
      <c r="D14" s="11" t="s">
        <v>1008</v>
      </c>
      <c r="E14" s="11">
        <v>1</v>
      </c>
    </row>
    <row r="15" spans="1:5" ht="24.75">
      <c r="A15" s="11" t="s">
        <v>237</v>
      </c>
      <c r="B15" s="11" t="s">
        <v>133</v>
      </c>
      <c r="C15" s="11" t="s">
        <v>210</v>
      </c>
      <c r="D15" s="11" t="s">
        <v>1009</v>
      </c>
      <c r="E15" s="11">
        <v>1</v>
      </c>
    </row>
    <row r="16" spans="1:5" ht="24.75">
      <c r="A16" s="11" t="s">
        <v>237</v>
      </c>
      <c r="B16" s="11" t="s">
        <v>133</v>
      </c>
      <c r="C16" s="11" t="s">
        <v>210</v>
      </c>
      <c r="D16" s="11" t="s">
        <v>1010</v>
      </c>
      <c r="E16" s="11">
        <v>1</v>
      </c>
    </row>
    <row r="17" spans="1:5" ht="24.75">
      <c r="A17" s="11" t="s">
        <v>237</v>
      </c>
      <c r="B17" s="11" t="s">
        <v>133</v>
      </c>
      <c r="C17" s="11" t="s">
        <v>210</v>
      </c>
      <c r="D17" s="11" t="s">
        <v>1011</v>
      </c>
      <c r="E17" s="11">
        <v>1</v>
      </c>
    </row>
    <row r="18" spans="1:5" ht="24.75">
      <c r="A18" s="11" t="s">
        <v>237</v>
      </c>
      <c r="B18" s="11" t="s">
        <v>133</v>
      </c>
      <c r="C18" s="11" t="s">
        <v>210</v>
      </c>
      <c r="D18" s="11" t="s">
        <v>1012</v>
      </c>
      <c r="E18" s="11">
        <v>1</v>
      </c>
    </row>
    <row r="19" spans="1:5" ht="24.75">
      <c r="A19" s="11" t="s">
        <v>237</v>
      </c>
      <c r="B19" s="11" t="s">
        <v>133</v>
      </c>
      <c r="C19" s="11" t="s">
        <v>210</v>
      </c>
      <c r="D19" s="11" t="s">
        <v>1013</v>
      </c>
      <c r="E19" s="11">
        <v>1</v>
      </c>
    </row>
    <row r="20" spans="1:5" ht="24.75">
      <c r="A20" s="11" t="s">
        <v>237</v>
      </c>
      <c r="B20" s="11" t="s">
        <v>133</v>
      </c>
      <c r="C20" s="11" t="s">
        <v>210</v>
      </c>
      <c r="D20" s="11" t="s">
        <v>1014</v>
      </c>
      <c r="E20" s="11">
        <v>1</v>
      </c>
    </row>
    <row r="21" spans="1:5" ht="24.75">
      <c r="A21" s="11" t="s">
        <v>237</v>
      </c>
      <c r="B21" s="11" t="s">
        <v>133</v>
      </c>
      <c r="C21" s="11" t="s">
        <v>210</v>
      </c>
      <c r="D21" s="11" t="s">
        <v>1015</v>
      </c>
      <c r="E21" s="11">
        <v>1</v>
      </c>
    </row>
    <row r="22" spans="1:5" ht="24.75">
      <c r="A22" s="11" t="s">
        <v>237</v>
      </c>
      <c r="B22" s="11" t="s">
        <v>133</v>
      </c>
      <c r="C22" s="11" t="s">
        <v>210</v>
      </c>
      <c r="D22" s="11" t="s">
        <v>1016</v>
      </c>
      <c r="E22" s="11">
        <v>1</v>
      </c>
    </row>
    <row r="23" spans="1:5" ht="24.75">
      <c r="A23" s="11" t="s">
        <v>237</v>
      </c>
      <c r="B23" s="11" t="s">
        <v>133</v>
      </c>
      <c r="C23" s="11" t="s">
        <v>210</v>
      </c>
      <c r="D23" s="11" t="s">
        <v>1017</v>
      </c>
      <c r="E23" s="11">
        <v>1</v>
      </c>
    </row>
    <row r="24" spans="1:5" ht="24.75">
      <c r="A24" s="11" t="s">
        <v>237</v>
      </c>
      <c r="B24" s="11" t="s">
        <v>133</v>
      </c>
      <c r="C24" s="11" t="s">
        <v>210</v>
      </c>
      <c r="D24" s="11" t="s">
        <v>1018</v>
      </c>
      <c r="E24" s="11">
        <v>1</v>
      </c>
    </row>
    <row r="25" spans="1:5" ht="24.75">
      <c r="A25" s="11" t="s">
        <v>237</v>
      </c>
      <c r="B25" s="11" t="s">
        <v>133</v>
      </c>
      <c r="C25" s="11" t="s">
        <v>210</v>
      </c>
      <c r="D25" s="11" t="s">
        <v>1019</v>
      </c>
      <c r="E25" s="11">
        <v>1</v>
      </c>
    </row>
    <row r="26" spans="1:5" ht="24.75">
      <c r="A26" s="11" t="s">
        <v>237</v>
      </c>
      <c r="B26" s="11" t="s">
        <v>133</v>
      </c>
      <c r="C26" s="11" t="s">
        <v>210</v>
      </c>
      <c r="D26" s="11" t="s">
        <v>1020</v>
      </c>
      <c r="E26" s="11">
        <v>1</v>
      </c>
    </row>
    <row r="27" spans="1:5" ht="24.75">
      <c r="A27" s="11" t="s">
        <v>237</v>
      </c>
      <c r="B27" s="11" t="s">
        <v>133</v>
      </c>
      <c r="C27" s="11" t="s">
        <v>210</v>
      </c>
      <c r="D27" s="11" t="s">
        <v>1021</v>
      </c>
      <c r="E27" s="11">
        <v>1</v>
      </c>
    </row>
    <row r="28" spans="1:5" ht="24.75">
      <c r="A28" s="11" t="s">
        <v>237</v>
      </c>
      <c r="B28" s="11" t="s">
        <v>133</v>
      </c>
      <c r="C28" s="11" t="s">
        <v>210</v>
      </c>
      <c r="D28" s="11" t="s">
        <v>1022</v>
      </c>
      <c r="E28" s="11">
        <v>1</v>
      </c>
    </row>
    <row r="29" spans="1:5" ht="24.75">
      <c r="A29" s="11" t="s">
        <v>237</v>
      </c>
      <c r="B29" s="11" t="s">
        <v>133</v>
      </c>
      <c r="C29" s="11" t="s">
        <v>210</v>
      </c>
      <c r="D29" s="11" t="s">
        <v>1023</v>
      </c>
      <c r="E29" s="11">
        <v>1</v>
      </c>
    </row>
    <row r="30" spans="1:5" ht="24.75">
      <c r="A30" s="11" t="s">
        <v>237</v>
      </c>
      <c r="B30" s="11" t="s">
        <v>133</v>
      </c>
      <c r="C30" s="11" t="s">
        <v>210</v>
      </c>
      <c r="D30" s="11" t="s">
        <v>1024</v>
      </c>
      <c r="E30" s="11">
        <v>1</v>
      </c>
    </row>
    <row r="31" spans="1:5" ht="24.75">
      <c r="A31" s="11" t="s">
        <v>237</v>
      </c>
      <c r="B31" s="11" t="s">
        <v>133</v>
      </c>
      <c r="C31" s="11" t="s">
        <v>210</v>
      </c>
      <c r="D31" s="11" t="s">
        <v>1025</v>
      </c>
      <c r="E31" s="11">
        <v>1</v>
      </c>
    </row>
    <row r="32" spans="1:5" ht="24.75">
      <c r="A32" s="11" t="s">
        <v>237</v>
      </c>
      <c r="B32" s="11" t="s">
        <v>133</v>
      </c>
      <c r="C32" s="11" t="s">
        <v>210</v>
      </c>
      <c r="D32" s="11" t="s">
        <v>1026</v>
      </c>
      <c r="E32" s="11">
        <v>1</v>
      </c>
    </row>
    <row r="33" spans="1:5" ht="24.75">
      <c r="A33" s="11" t="s">
        <v>237</v>
      </c>
      <c r="B33" s="11" t="s">
        <v>133</v>
      </c>
      <c r="C33" s="11" t="s">
        <v>210</v>
      </c>
      <c r="D33" s="11" t="s">
        <v>1027</v>
      </c>
      <c r="E33" s="11">
        <v>1</v>
      </c>
    </row>
    <row r="34" spans="1:5" ht="24.75">
      <c r="A34" s="11" t="s">
        <v>237</v>
      </c>
      <c r="B34" s="11" t="s">
        <v>133</v>
      </c>
      <c r="C34" s="11" t="s">
        <v>210</v>
      </c>
      <c r="D34" s="11" t="s">
        <v>1028</v>
      </c>
      <c r="E34" s="11">
        <v>1</v>
      </c>
    </row>
    <row r="35" spans="1:5" ht="24.75">
      <c r="A35" s="11" t="s">
        <v>237</v>
      </c>
      <c r="B35" s="11" t="s">
        <v>133</v>
      </c>
      <c r="C35" s="11" t="s">
        <v>210</v>
      </c>
      <c r="D35" s="11" t="s">
        <v>1029</v>
      </c>
      <c r="E35" s="11">
        <v>1</v>
      </c>
    </row>
    <row r="36" spans="1:5" ht="24.75">
      <c r="A36" s="11" t="s">
        <v>237</v>
      </c>
      <c r="B36" s="11" t="s">
        <v>133</v>
      </c>
      <c r="C36" s="11" t="s">
        <v>210</v>
      </c>
      <c r="D36" s="11" t="s">
        <v>1030</v>
      </c>
      <c r="E36" s="11">
        <v>1</v>
      </c>
    </row>
    <row r="37" spans="1:5" ht="24.75">
      <c r="A37" s="11" t="s">
        <v>237</v>
      </c>
      <c r="B37" s="11" t="s">
        <v>133</v>
      </c>
      <c r="C37" s="11" t="s">
        <v>210</v>
      </c>
      <c r="D37" s="11" t="s">
        <v>1031</v>
      </c>
      <c r="E37" s="11">
        <v>1</v>
      </c>
    </row>
    <row r="38" spans="1:5" ht="24.75">
      <c r="A38" s="11" t="s">
        <v>237</v>
      </c>
      <c r="B38" s="11" t="s">
        <v>133</v>
      </c>
      <c r="C38" s="11" t="s">
        <v>210</v>
      </c>
      <c r="D38" s="11" t="s">
        <v>1032</v>
      </c>
      <c r="E38" s="11">
        <v>1</v>
      </c>
    </row>
    <row r="39" spans="1:5" ht="24.75">
      <c r="A39" s="11" t="s">
        <v>237</v>
      </c>
      <c r="B39" s="11" t="s">
        <v>133</v>
      </c>
      <c r="C39" s="11" t="s">
        <v>210</v>
      </c>
      <c r="D39" s="11" t="s">
        <v>1033</v>
      </c>
      <c r="E39" s="11">
        <v>1</v>
      </c>
    </row>
    <row r="40" spans="1:5" ht="24.75">
      <c r="A40" s="11" t="s">
        <v>237</v>
      </c>
      <c r="B40" s="11" t="s">
        <v>133</v>
      </c>
      <c r="C40" s="11" t="s">
        <v>210</v>
      </c>
      <c r="D40" s="11" t="s">
        <v>1034</v>
      </c>
      <c r="E40" s="11">
        <v>1</v>
      </c>
    </row>
    <row r="41" spans="1:5" ht="24.75">
      <c r="A41" s="11" t="s">
        <v>237</v>
      </c>
      <c r="B41" s="11" t="s">
        <v>133</v>
      </c>
      <c r="C41" s="11" t="s">
        <v>210</v>
      </c>
      <c r="D41" s="11" t="s">
        <v>1035</v>
      </c>
      <c r="E41" s="11">
        <v>1</v>
      </c>
    </row>
    <row r="42" spans="1:5" ht="24.75">
      <c r="A42" s="11" t="s">
        <v>237</v>
      </c>
      <c r="B42" s="11" t="s">
        <v>133</v>
      </c>
      <c r="C42" s="11" t="s">
        <v>210</v>
      </c>
      <c r="D42" s="11" t="s">
        <v>1036</v>
      </c>
      <c r="E42" s="11">
        <v>1</v>
      </c>
    </row>
    <row r="43" spans="1:5" ht="24.75">
      <c r="A43" s="11" t="s">
        <v>237</v>
      </c>
      <c r="B43" s="11" t="s">
        <v>133</v>
      </c>
      <c r="C43" s="11" t="s">
        <v>210</v>
      </c>
      <c r="D43" s="11" t="s">
        <v>1037</v>
      </c>
      <c r="E43" s="11">
        <v>1</v>
      </c>
    </row>
    <row r="44" spans="1:5" ht="24.75">
      <c r="A44" s="11" t="s">
        <v>237</v>
      </c>
      <c r="B44" s="11" t="s">
        <v>133</v>
      </c>
      <c r="C44" s="11" t="s">
        <v>210</v>
      </c>
      <c r="D44" s="11" t="s">
        <v>1038</v>
      </c>
      <c r="E44" s="11">
        <v>1</v>
      </c>
    </row>
    <row r="45" spans="1:5" ht="24.75">
      <c r="A45" s="11" t="s">
        <v>237</v>
      </c>
      <c r="B45" s="11" t="s">
        <v>133</v>
      </c>
      <c r="C45" s="11" t="s">
        <v>210</v>
      </c>
      <c r="D45" s="11" t="s">
        <v>1039</v>
      </c>
      <c r="E45" s="11">
        <v>1</v>
      </c>
    </row>
    <row r="46" spans="1:5" ht="24.75">
      <c r="A46" s="11" t="s">
        <v>237</v>
      </c>
      <c r="B46" s="11" t="s">
        <v>133</v>
      </c>
      <c r="C46" s="11" t="s">
        <v>210</v>
      </c>
      <c r="D46" s="11" t="s">
        <v>1040</v>
      </c>
      <c r="E46" s="11">
        <v>1</v>
      </c>
    </row>
    <row r="47" spans="1:5" ht="24.75">
      <c r="A47" s="11" t="s">
        <v>237</v>
      </c>
      <c r="B47" s="11" t="s">
        <v>133</v>
      </c>
      <c r="C47" s="11" t="s">
        <v>210</v>
      </c>
      <c r="D47" s="11" t="s">
        <v>1041</v>
      </c>
      <c r="E47" s="11">
        <v>1</v>
      </c>
    </row>
    <row r="48" spans="1:5" ht="24.75">
      <c r="A48" s="11" t="s">
        <v>237</v>
      </c>
      <c r="B48" s="11" t="s">
        <v>133</v>
      </c>
      <c r="C48" s="11" t="s">
        <v>210</v>
      </c>
      <c r="D48" s="11" t="s">
        <v>1042</v>
      </c>
      <c r="E48" s="11">
        <v>1</v>
      </c>
    </row>
    <row r="49" spans="1:5" ht="24.75">
      <c r="A49" s="11" t="s">
        <v>237</v>
      </c>
      <c r="B49" s="11" t="s">
        <v>133</v>
      </c>
      <c r="C49" s="11" t="s">
        <v>210</v>
      </c>
      <c r="D49" s="11" t="s">
        <v>1043</v>
      </c>
      <c r="E49" s="11">
        <v>1</v>
      </c>
    </row>
    <row r="50" spans="1:5" ht="24.75">
      <c r="A50" s="11" t="s">
        <v>237</v>
      </c>
      <c r="B50" s="11" t="s">
        <v>133</v>
      </c>
      <c r="C50" s="11" t="s">
        <v>210</v>
      </c>
      <c r="D50" s="11" t="s">
        <v>1044</v>
      </c>
      <c r="E50" s="11">
        <v>1</v>
      </c>
    </row>
    <row r="51" spans="1:5" ht="24.75">
      <c r="A51" s="11" t="s">
        <v>237</v>
      </c>
      <c r="B51" s="11" t="s">
        <v>133</v>
      </c>
      <c r="C51" s="11" t="s">
        <v>210</v>
      </c>
      <c r="D51" s="11" t="s">
        <v>1045</v>
      </c>
      <c r="E51" s="11">
        <v>1</v>
      </c>
    </row>
    <row r="52" spans="1:5" ht="24.75">
      <c r="A52" s="11" t="s">
        <v>237</v>
      </c>
      <c r="B52" s="11" t="s">
        <v>133</v>
      </c>
      <c r="C52" s="11" t="s">
        <v>210</v>
      </c>
      <c r="D52" s="11" t="s">
        <v>1046</v>
      </c>
      <c r="E52" s="11">
        <v>1</v>
      </c>
    </row>
    <row r="53" spans="1:5" ht="24.75">
      <c r="A53" s="11" t="s">
        <v>237</v>
      </c>
      <c r="B53" s="11" t="s">
        <v>133</v>
      </c>
      <c r="C53" s="11" t="s">
        <v>210</v>
      </c>
      <c r="D53" s="11" t="s">
        <v>1047</v>
      </c>
      <c r="E53" s="11">
        <v>1</v>
      </c>
    </row>
    <row r="54" spans="1:5" ht="24.75">
      <c r="A54" s="11" t="s">
        <v>237</v>
      </c>
      <c r="B54" s="11" t="s">
        <v>133</v>
      </c>
      <c r="C54" s="11" t="s">
        <v>210</v>
      </c>
      <c r="D54" s="11" t="s">
        <v>1048</v>
      </c>
      <c r="E54" s="11">
        <v>1</v>
      </c>
    </row>
    <row r="55" spans="1:5" ht="24.75">
      <c r="A55" s="11" t="s">
        <v>237</v>
      </c>
      <c r="B55" s="11" t="s">
        <v>133</v>
      </c>
      <c r="C55" s="11" t="s">
        <v>212</v>
      </c>
      <c r="D55" s="11" t="s">
        <v>1049</v>
      </c>
      <c r="E55" s="11">
        <v>1</v>
      </c>
    </row>
    <row r="56" spans="1:5" ht="24.75">
      <c r="A56" s="11" t="s">
        <v>237</v>
      </c>
      <c r="B56" s="11" t="s">
        <v>133</v>
      </c>
      <c r="C56" s="11" t="s">
        <v>212</v>
      </c>
      <c r="D56" s="11" t="s">
        <v>1050</v>
      </c>
      <c r="E56" s="11">
        <v>1</v>
      </c>
    </row>
    <row r="57" spans="1:5" ht="24.75">
      <c r="A57" s="11" t="s">
        <v>237</v>
      </c>
      <c r="B57" s="11" t="s">
        <v>133</v>
      </c>
      <c r="C57" s="11" t="s">
        <v>212</v>
      </c>
      <c r="D57" s="11" t="s">
        <v>1051</v>
      </c>
      <c r="E57" s="11">
        <v>1</v>
      </c>
    </row>
    <row r="58" spans="1:5" ht="24.75">
      <c r="A58" s="11" t="s">
        <v>237</v>
      </c>
      <c r="B58" s="11" t="s">
        <v>133</v>
      </c>
      <c r="C58" s="11" t="s">
        <v>212</v>
      </c>
      <c r="D58" s="11" t="s">
        <v>1052</v>
      </c>
      <c r="E58" s="11">
        <v>1</v>
      </c>
    </row>
    <row r="59" spans="1:5" ht="24.75">
      <c r="A59" s="11" t="s">
        <v>237</v>
      </c>
      <c r="B59" s="11" t="s">
        <v>133</v>
      </c>
      <c r="C59" s="11" t="s">
        <v>212</v>
      </c>
      <c r="D59" s="11" t="s">
        <v>1053</v>
      </c>
      <c r="E59" s="11">
        <v>1</v>
      </c>
    </row>
    <row r="60" spans="1:5" ht="24.75">
      <c r="A60" s="11" t="s">
        <v>237</v>
      </c>
      <c r="B60" s="11" t="s">
        <v>133</v>
      </c>
      <c r="C60" s="11" t="s">
        <v>212</v>
      </c>
      <c r="D60" s="11" t="s">
        <v>1054</v>
      </c>
      <c r="E60" s="11">
        <v>1</v>
      </c>
    </row>
    <row r="61" spans="1:5" ht="24.75">
      <c r="A61" s="11" t="s">
        <v>237</v>
      </c>
      <c r="B61" s="11" t="s">
        <v>133</v>
      </c>
      <c r="C61" s="11" t="s">
        <v>212</v>
      </c>
      <c r="D61" s="11" t="s">
        <v>1055</v>
      </c>
      <c r="E61" s="11">
        <v>1</v>
      </c>
    </row>
    <row r="62" spans="1:5" ht="24.75">
      <c r="A62" s="11" t="s">
        <v>237</v>
      </c>
      <c r="B62" s="11" t="s">
        <v>133</v>
      </c>
      <c r="C62" s="11" t="s">
        <v>212</v>
      </c>
      <c r="D62" s="11" t="s">
        <v>1056</v>
      </c>
      <c r="E62" s="11">
        <v>1</v>
      </c>
    </row>
    <row r="63" spans="1:5" ht="24.75">
      <c r="A63" s="11" t="s">
        <v>237</v>
      </c>
      <c r="B63" s="11" t="s">
        <v>133</v>
      </c>
      <c r="C63" s="11" t="s">
        <v>212</v>
      </c>
      <c r="D63" s="11" t="s">
        <v>1057</v>
      </c>
      <c r="E63" s="11">
        <v>1</v>
      </c>
    </row>
    <row r="64" spans="1:5" ht="24.75">
      <c r="A64" s="11" t="s">
        <v>237</v>
      </c>
      <c r="B64" s="11" t="s">
        <v>133</v>
      </c>
      <c r="C64" s="11" t="s">
        <v>212</v>
      </c>
      <c r="D64" s="11" t="s">
        <v>1058</v>
      </c>
      <c r="E64" s="11">
        <v>1</v>
      </c>
    </row>
    <row r="65" spans="1:5" ht="24.75">
      <c r="A65" s="11" t="s">
        <v>237</v>
      </c>
      <c r="B65" s="11" t="s">
        <v>133</v>
      </c>
      <c r="C65" s="11" t="s">
        <v>212</v>
      </c>
      <c r="D65" s="11" t="s">
        <v>1059</v>
      </c>
      <c r="E65" s="11">
        <v>1</v>
      </c>
    </row>
    <row r="66" spans="1:5" ht="24.75">
      <c r="A66" s="11" t="s">
        <v>237</v>
      </c>
      <c r="B66" s="11" t="s">
        <v>133</v>
      </c>
      <c r="C66" s="11" t="s">
        <v>212</v>
      </c>
      <c r="D66" s="11" t="s">
        <v>1060</v>
      </c>
      <c r="E66" s="11">
        <v>1</v>
      </c>
    </row>
    <row r="67" spans="1:5" ht="24.75">
      <c r="A67" s="11" t="s">
        <v>237</v>
      </c>
      <c r="B67" s="11" t="s">
        <v>133</v>
      </c>
      <c r="C67" s="11" t="s">
        <v>212</v>
      </c>
      <c r="D67" s="11" t="s">
        <v>1061</v>
      </c>
      <c r="E67" s="11">
        <v>1</v>
      </c>
    </row>
    <row r="68" spans="1:5" ht="24.75">
      <c r="A68" s="11" t="s">
        <v>237</v>
      </c>
      <c r="B68" s="11" t="s">
        <v>133</v>
      </c>
      <c r="C68" s="11" t="s">
        <v>212</v>
      </c>
      <c r="D68" s="11" t="s">
        <v>1062</v>
      </c>
      <c r="E68" s="11">
        <v>1</v>
      </c>
    </row>
    <row r="69" spans="1:5" ht="24.75">
      <c r="A69" s="11" t="s">
        <v>237</v>
      </c>
      <c r="B69" s="11" t="s">
        <v>133</v>
      </c>
      <c r="C69" s="11" t="s">
        <v>212</v>
      </c>
      <c r="D69" s="11" t="s">
        <v>1063</v>
      </c>
      <c r="E69" s="11">
        <v>1</v>
      </c>
    </row>
    <row r="70" spans="1:5" ht="24.75">
      <c r="A70" s="11" t="s">
        <v>237</v>
      </c>
      <c r="B70" s="11" t="s">
        <v>133</v>
      </c>
      <c r="C70" s="11" t="s">
        <v>212</v>
      </c>
      <c r="D70" s="11" t="s">
        <v>1064</v>
      </c>
      <c r="E70" s="11">
        <v>1</v>
      </c>
    </row>
    <row r="71" spans="1:5" ht="24.75">
      <c r="A71" s="11" t="s">
        <v>237</v>
      </c>
      <c r="B71" s="11" t="s">
        <v>133</v>
      </c>
      <c r="C71" s="11" t="s">
        <v>212</v>
      </c>
      <c r="D71" s="11" t="s">
        <v>1065</v>
      </c>
      <c r="E71" s="11">
        <v>1</v>
      </c>
    </row>
    <row r="72" spans="1:5" ht="24.75">
      <c r="A72" s="11" t="s">
        <v>237</v>
      </c>
      <c r="B72" s="11" t="s">
        <v>133</v>
      </c>
      <c r="C72" s="11" t="s">
        <v>212</v>
      </c>
      <c r="D72" s="11" t="s">
        <v>1066</v>
      </c>
      <c r="E72" s="11">
        <v>1</v>
      </c>
    </row>
    <row r="73" spans="1:5" ht="24.75">
      <c r="A73" s="11" t="s">
        <v>237</v>
      </c>
      <c r="B73" s="11" t="s">
        <v>133</v>
      </c>
      <c r="C73" s="11" t="s">
        <v>212</v>
      </c>
      <c r="D73" s="11" t="s">
        <v>1067</v>
      </c>
      <c r="E73" s="11">
        <v>1</v>
      </c>
    </row>
    <row r="74" spans="1:5" ht="24.75">
      <c r="A74" s="11" t="s">
        <v>237</v>
      </c>
      <c r="B74" s="11" t="s">
        <v>133</v>
      </c>
      <c r="C74" s="11" t="s">
        <v>212</v>
      </c>
      <c r="D74" s="11" t="s">
        <v>1068</v>
      </c>
      <c r="E74" s="11">
        <v>1</v>
      </c>
    </row>
    <row r="75" spans="1:5" ht="24.75">
      <c r="A75" s="11" t="s">
        <v>237</v>
      </c>
      <c r="B75" s="11" t="s">
        <v>133</v>
      </c>
      <c r="C75" s="11" t="s">
        <v>212</v>
      </c>
      <c r="D75" s="11" t="s">
        <v>1069</v>
      </c>
      <c r="E75" s="11">
        <v>1</v>
      </c>
    </row>
    <row r="76" spans="1:5" ht="24.75">
      <c r="A76" s="11" t="s">
        <v>237</v>
      </c>
      <c r="B76" s="11" t="s">
        <v>133</v>
      </c>
      <c r="C76" s="11" t="s">
        <v>212</v>
      </c>
      <c r="D76" s="11" t="s">
        <v>1070</v>
      </c>
      <c r="E76" s="11">
        <v>1</v>
      </c>
    </row>
    <row r="77" spans="1:5" ht="24.75">
      <c r="A77" s="11" t="s">
        <v>237</v>
      </c>
      <c r="B77" s="11" t="s">
        <v>133</v>
      </c>
      <c r="C77" s="11" t="s">
        <v>212</v>
      </c>
      <c r="D77" s="11" t="s">
        <v>1071</v>
      </c>
      <c r="E77" s="11">
        <v>1</v>
      </c>
    </row>
    <row r="78" spans="1:5" ht="24.75">
      <c r="A78" s="11" t="s">
        <v>237</v>
      </c>
      <c r="B78" s="11" t="s">
        <v>133</v>
      </c>
      <c r="C78" s="11" t="s">
        <v>212</v>
      </c>
      <c r="D78" s="11" t="s">
        <v>1072</v>
      </c>
      <c r="E78" s="11">
        <v>1</v>
      </c>
    </row>
    <row r="79" spans="1:5" ht="24.75">
      <c r="A79" s="11" t="s">
        <v>237</v>
      </c>
      <c r="B79" s="11" t="s">
        <v>133</v>
      </c>
      <c r="C79" s="11" t="s">
        <v>212</v>
      </c>
      <c r="D79" s="11" t="s">
        <v>1073</v>
      </c>
      <c r="E79" s="11">
        <v>1</v>
      </c>
    </row>
    <row r="80" spans="1:5" ht="24.75">
      <c r="A80" s="11" t="s">
        <v>237</v>
      </c>
      <c r="B80" s="11" t="s">
        <v>133</v>
      </c>
      <c r="C80" s="11" t="s">
        <v>212</v>
      </c>
      <c r="D80" s="11" t="s">
        <v>1074</v>
      </c>
      <c r="E80" s="11">
        <v>1</v>
      </c>
    </row>
    <row r="81" spans="1:5">
      <c r="A81" s="1" t="s">
        <v>126</v>
      </c>
      <c r="B81" s="1" t="s">
        <v>126</v>
      </c>
      <c r="C81" s="1">
        <f>SUBTOTAL(103,Elements138191[Elemento])</f>
        <v>74</v>
      </c>
      <c r="D81" s="1" t="s">
        <v>126</v>
      </c>
      <c r="E81" s="1">
        <f>SUBTOTAL(109,Elements138191[Totais:])</f>
        <v>74</v>
      </c>
    </row>
  </sheetData>
  <mergeCells count="3">
    <mergeCell ref="A1:E2"/>
    <mergeCell ref="A4:E4"/>
    <mergeCell ref="A5:E5"/>
  </mergeCells>
  <hyperlinks>
    <hyperlink ref="A1" location="'13.8.19'!A1" display="ESPELHO / PLACA DE 1 POSTO 4” X 2”, PARA INSTALACAO DE TOMADAS E INTERRUPTORES" xr:uid="{00000000-0004-0000-2F00-000000000000}"/>
    <hyperlink ref="B1" location="'13.8.19'!A1" display="ESPELHO / PLACA DE 1 POSTO 4” X 2”, PARA INSTALACAO DE TOMADAS E INTERRUPTORES" xr:uid="{00000000-0004-0000-2F00-000001000000}"/>
    <hyperlink ref="C1" location="'13.8.19'!A1" display="ESPELHO / PLACA DE 1 POSTO 4” X 2”, PARA INSTALACAO DE TOMADAS E INTERRUPTORES" xr:uid="{00000000-0004-0000-2F00-000002000000}"/>
    <hyperlink ref="D1" location="'13.8.19'!A1" display="ESPELHO / PLACA DE 1 POSTO 4” X 2”, PARA INSTALACAO DE TOMADAS E INTERRUPTORES" xr:uid="{00000000-0004-0000-2F00-000003000000}"/>
    <hyperlink ref="E1" location="'13.8.19'!A1" display="ESPELHO / PLACA DE 1 POSTO 4” X 2”, PARA INSTALACAO DE TOMADAS E INTERRUPTORES" xr:uid="{00000000-0004-0000-2F00-000004000000}"/>
    <hyperlink ref="A2" location="'13.8.19'!A1" display="ESPELHO / PLACA DE 1 POSTO 4” X 2”, PARA INSTALACAO DE TOMADAS E INTERRUPTORES" xr:uid="{00000000-0004-0000-2F00-000005000000}"/>
    <hyperlink ref="B2" location="'13.8.19'!A1" display="ESPELHO / PLACA DE 1 POSTO 4” X 2”, PARA INSTALACAO DE TOMADAS E INTERRUPTORES" xr:uid="{00000000-0004-0000-2F00-000006000000}"/>
    <hyperlink ref="C2" location="'13.8.19'!A1" display="ESPELHO / PLACA DE 1 POSTO 4” X 2”, PARA INSTALACAO DE TOMADAS E INTERRUPTORES" xr:uid="{00000000-0004-0000-2F00-000007000000}"/>
    <hyperlink ref="D2" location="'13.8.19'!A1" display="ESPELHO / PLACA DE 1 POSTO 4” X 2”, PARA INSTALACAO DE TOMADAS E INTERRUPTORES" xr:uid="{00000000-0004-0000-2F00-000008000000}"/>
    <hyperlink ref="E2" location="'13.8.19'!A1" display="ESPELHO / PLACA DE 1 POSTO 4” X 2”, PARA INSTALACAO DE TOMADAS E INTERRUPTORES" xr:uid="{00000000-0004-0000-2F00-000009000000}"/>
    <hyperlink ref="A4" location="'13.8.19'!A1" display="Dispositivos elétricos" xr:uid="{00000000-0004-0000-2F00-00000A000000}"/>
    <hyperlink ref="B4" location="'13.8.19'!A1" display="Dispositivos elétricos" xr:uid="{00000000-0004-0000-2F00-00000B000000}"/>
    <hyperlink ref="C4" location="'13.8.19'!A1" display="Dispositivos elétricos" xr:uid="{00000000-0004-0000-2F00-00000C000000}"/>
    <hyperlink ref="D4" location="'13.8.19'!A1" display="Dispositivos elétricos" xr:uid="{00000000-0004-0000-2F00-00000D000000}"/>
    <hyperlink ref="E4" location="'13.8.19'!A1" display="Dispositivos elétricos" xr:uid="{00000000-0004-0000-2F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dimension ref="A1:E54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94</v>
      </c>
      <c r="B1" s="23" t="s">
        <v>94</v>
      </c>
      <c r="C1" s="23" t="s">
        <v>94</v>
      </c>
      <c r="D1" s="23" t="s">
        <v>94</v>
      </c>
      <c r="E1" s="23" t="s">
        <v>94</v>
      </c>
    </row>
    <row r="2" spans="1:5">
      <c r="A2" s="23" t="s">
        <v>94</v>
      </c>
      <c r="B2" s="23" t="s">
        <v>94</v>
      </c>
      <c r="C2" s="23" t="s">
        <v>94</v>
      </c>
      <c r="D2" s="23" t="s">
        <v>94</v>
      </c>
      <c r="E2" s="23" t="s">
        <v>94</v>
      </c>
    </row>
    <row r="4" spans="1:5">
      <c r="A4" s="18" t="s">
        <v>214</v>
      </c>
      <c r="B4" s="18" t="s">
        <v>214</v>
      </c>
      <c r="C4" s="18" t="s">
        <v>214</v>
      </c>
      <c r="D4" s="18" t="s">
        <v>214</v>
      </c>
      <c r="E4" s="18" t="s">
        <v>214</v>
      </c>
    </row>
    <row r="5" spans="1:5">
      <c r="A5" s="24" t="s">
        <v>126</v>
      </c>
      <c r="B5" s="24" t="s">
        <v>126</v>
      </c>
      <c r="C5" s="24" t="s">
        <v>126</v>
      </c>
      <c r="D5" s="24" t="s">
        <v>126</v>
      </c>
      <c r="E5" s="24" t="s">
        <v>126</v>
      </c>
    </row>
    <row r="6" spans="1:5">
      <c r="A6" s="10" t="s">
        <v>232</v>
      </c>
      <c r="B6" s="10" t="s">
        <v>233</v>
      </c>
      <c r="C6" s="10" t="s">
        <v>234</v>
      </c>
      <c r="D6" s="10" t="s">
        <v>235</v>
      </c>
      <c r="E6" s="10" t="s">
        <v>236</v>
      </c>
    </row>
    <row r="7" spans="1:5" ht="24.75">
      <c r="A7" s="11" t="s">
        <v>237</v>
      </c>
      <c r="B7" s="11" t="s">
        <v>133</v>
      </c>
      <c r="C7" s="11" t="s">
        <v>160</v>
      </c>
      <c r="D7" s="11" t="s">
        <v>415</v>
      </c>
      <c r="E7" s="11">
        <v>1</v>
      </c>
    </row>
    <row r="8" spans="1:5" ht="24.75">
      <c r="A8" s="11" t="s">
        <v>237</v>
      </c>
      <c r="B8" s="11" t="s">
        <v>133</v>
      </c>
      <c r="C8" s="11" t="s">
        <v>160</v>
      </c>
      <c r="D8" s="11" t="s">
        <v>416</v>
      </c>
      <c r="E8" s="11">
        <v>1</v>
      </c>
    </row>
    <row r="9" spans="1:5" ht="24.75">
      <c r="A9" s="11" t="s">
        <v>237</v>
      </c>
      <c r="B9" s="11" t="s">
        <v>133</v>
      </c>
      <c r="C9" s="11" t="s">
        <v>160</v>
      </c>
      <c r="D9" s="11" t="s">
        <v>417</v>
      </c>
      <c r="E9" s="11">
        <v>1</v>
      </c>
    </row>
    <row r="10" spans="1:5" ht="24.75">
      <c r="A10" s="11" t="s">
        <v>237</v>
      </c>
      <c r="B10" s="11" t="s">
        <v>133</v>
      </c>
      <c r="C10" s="11" t="s">
        <v>155</v>
      </c>
      <c r="D10" s="11" t="s">
        <v>368</v>
      </c>
      <c r="E10" s="11">
        <v>1</v>
      </c>
    </row>
    <row r="11" spans="1:5" ht="24.75">
      <c r="A11" s="11" t="s">
        <v>237</v>
      </c>
      <c r="B11" s="11" t="s">
        <v>133</v>
      </c>
      <c r="C11" s="11" t="s">
        <v>155</v>
      </c>
      <c r="D11" s="11" t="s">
        <v>369</v>
      </c>
      <c r="E11" s="11">
        <v>1</v>
      </c>
    </row>
    <row r="12" spans="1:5" ht="24.75">
      <c r="A12" s="11" t="s">
        <v>237</v>
      </c>
      <c r="B12" s="11" t="s">
        <v>133</v>
      </c>
      <c r="C12" s="11" t="s">
        <v>155</v>
      </c>
      <c r="D12" s="11" t="s">
        <v>370</v>
      </c>
      <c r="E12" s="11">
        <v>1</v>
      </c>
    </row>
    <row r="13" spans="1:5" ht="24.75">
      <c r="A13" s="11" t="s">
        <v>237</v>
      </c>
      <c r="B13" s="11" t="s">
        <v>133</v>
      </c>
      <c r="C13" s="11" t="s">
        <v>155</v>
      </c>
      <c r="D13" s="11" t="s">
        <v>371</v>
      </c>
      <c r="E13" s="11">
        <v>1</v>
      </c>
    </row>
    <row r="14" spans="1:5" ht="24.75">
      <c r="A14" s="11" t="s">
        <v>237</v>
      </c>
      <c r="B14" s="11" t="s">
        <v>133</v>
      </c>
      <c r="C14" s="11" t="s">
        <v>155</v>
      </c>
      <c r="D14" s="11" t="s">
        <v>373</v>
      </c>
      <c r="E14" s="11">
        <v>1</v>
      </c>
    </row>
    <row r="15" spans="1:5" ht="24.75">
      <c r="A15" s="11" t="s">
        <v>237</v>
      </c>
      <c r="B15" s="11" t="s">
        <v>133</v>
      </c>
      <c r="C15" s="11" t="s">
        <v>155</v>
      </c>
      <c r="D15" s="11" t="s">
        <v>374</v>
      </c>
      <c r="E15" s="11">
        <v>1</v>
      </c>
    </row>
    <row r="16" spans="1:5" ht="24.75">
      <c r="A16" s="11" t="s">
        <v>237</v>
      </c>
      <c r="B16" s="11" t="s">
        <v>133</v>
      </c>
      <c r="C16" s="11" t="s">
        <v>155</v>
      </c>
      <c r="D16" s="11" t="s">
        <v>375</v>
      </c>
      <c r="E16" s="11">
        <v>1</v>
      </c>
    </row>
    <row r="17" spans="1:5" ht="24.75">
      <c r="A17" s="11" t="s">
        <v>237</v>
      </c>
      <c r="B17" s="11" t="s">
        <v>133</v>
      </c>
      <c r="C17" s="11" t="s">
        <v>155</v>
      </c>
      <c r="D17" s="11" t="s">
        <v>376</v>
      </c>
      <c r="E17" s="11">
        <v>1</v>
      </c>
    </row>
    <row r="18" spans="1:5" ht="24.75">
      <c r="A18" s="11" t="s">
        <v>237</v>
      </c>
      <c r="B18" s="11" t="s">
        <v>133</v>
      </c>
      <c r="C18" s="11" t="s">
        <v>155</v>
      </c>
      <c r="D18" s="11" t="s">
        <v>377</v>
      </c>
      <c r="E18" s="11">
        <v>1</v>
      </c>
    </row>
    <row r="19" spans="1:5" ht="24.75">
      <c r="A19" s="11" t="s">
        <v>237</v>
      </c>
      <c r="B19" s="11" t="s">
        <v>133</v>
      </c>
      <c r="C19" s="11" t="s">
        <v>155</v>
      </c>
      <c r="D19" s="11" t="s">
        <v>379</v>
      </c>
      <c r="E19" s="11">
        <v>1</v>
      </c>
    </row>
    <row r="20" spans="1:5" ht="24.75">
      <c r="A20" s="11" t="s">
        <v>237</v>
      </c>
      <c r="B20" s="11" t="s">
        <v>133</v>
      </c>
      <c r="C20" s="11" t="s">
        <v>155</v>
      </c>
      <c r="D20" s="11" t="s">
        <v>380</v>
      </c>
      <c r="E20" s="11">
        <v>1</v>
      </c>
    </row>
    <row r="21" spans="1:5" ht="24.75">
      <c r="A21" s="11" t="s">
        <v>237</v>
      </c>
      <c r="B21" s="11" t="s">
        <v>133</v>
      </c>
      <c r="C21" s="11" t="s">
        <v>155</v>
      </c>
      <c r="D21" s="11" t="s">
        <v>381</v>
      </c>
      <c r="E21" s="11">
        <v>1</v>
      </c>
    </row>
    <row r="22" spans="1:5" ht="24.75">
      <c r="A22" s="11" t="s">
        <v>237</v>
      </c>
      <c r="B22" s="11" t="s">
        <v>133</v>
      </c>
      <c r="C22" s="11" t="s">
        <v>155</v>
      </c>
      <c r="D22" s="11" t="s">
        <v>382</v>
      </c>
      <c r="E22" s="11">
        <v>1</v>
      </c>
    </row>
    <row r="23" spans="1:5" ht="24.75">
      <c r="A23" s="11" t="s">
        <v>237</v>
      </c>
      <c r="B23" s="11" t="s">
        <v>133</v>
      </c>
      <c r="C23" s="11" t="s">
        <v>155</v>
      </c>
      <c r="D23" s="11" t="s">
        <v>383</v>
      </c>
      <c r="E23" s="11">
        <v>1</v>
      </c>
    </row>
    <row r="24" spans="1:5" ht="24.75">
      <c r="A24" s="11" t="s">
        <v>237</v>
      </c>
      <c r="B24" s="11" t="s">
        <v>133</v>
      </c>
      <c r="C24" s="11" t="s">
        <v>155</v>
      </c>
      <c r="D24" s="11" t="s">
        <v>384</v>
      </c>
      <c r="E24" s="11">
        <v>1</v>
      </c>
    </row>
    <row r="25" spans="1:5" ht="24.75">
      <c r="A25" s="11" t="s">
        <v>237</v>
      </c>
      <c r="B25" s="11" t="s">
        <v>133</v>
      </c>
      <c r="C25" s="11" t="s">
        <v>155</v>
      </c>
      <c r="D25" s="11" t="s">
        <v>385</v>
      </c>
      <c r="E25" s="11">
        <v>1</v>
      </c>
    </row>
    <row r="26" spans="1:5" ht="24.75">
      <c r="A26" s="11" t="s">
        <v>237</v>
      </c>
      <c r="B26" s="11" t="s">
        <v>133</v>
      </c>
      <c r="C26" s="11" t="s">
        <v>155</v>
      </c>
      <c r="D26" s="11" t="s">
        <v>386</v>
      </c>
      <c r="E26" s="11">
        <v>1</v>
      </c>
    </row>
    <row r="27" spans="1:5" ht="24.75">
      <c r="A27" s="11" t="s">
        <v>237</v>
      </c>
      <c r="B27" s="11" t="s">
        <v>133</v>
      </c>
      <c r="C27" s="11" t="s">
        <v>155</v>
      </c>
      <c r="D27" s="11" t="s">
        <v>387</v>
      </c>
      <c r="E27" s="11">
        <v>1</v>
      </c>
    </row>
    <row r="28" spans="1:5" ht="24.75">
      <c r="A28" s="11" t="s">
        <v>237</v>
      </c>
      <c r="B28" s="11" t="s">
        <v>133</v>
      </c>
      <c r="C28" s="11" t="s">
        <v>155</v>
      </c>
      <c r="D28" s="11" t="s">
        <v>388</v>
      </c>
      <c r="E28" s="11">
        <v>1</v>
      </c>
    </row>
    <row r="29" spans="1:5" ht="24.75">
      <c r="A29" s="11" t="s">
        <v>237</v>
      </c>
      <c r="B29" s="11" t="s">
        <v>133</v>
      </c>
      <c r="C29" s="11" t="s">
        <v>155</v>
      </c>
      <c r="D29" s="11" t="s">
        <v>389</v>
      </c>
      <c r="E29" s="11">
        <v>1</v>
      </c>
    </row>
    <row r="30" spans="1:5" ht="24.75">
      <c r="A30" s="11" t="s">
        <v>237</v>
      </c>
      <c r="B30" s="11" t="s">
        <v>133</v>
      </c>
      <c r="C30" s="11" t="s">
        <v>155</v>
      </c>
      <c r="D30" s="11" t="s">
        <v>390</v>
      </c>
      <c r="E30" s="11">
        <v>1</v>
      </c>
    </row>
    <row r="31" spans="1:5" ht="24.75">
      <c r="A31" s="11" t="s">
        <v>237</v>
      </c>
      <c r="B31" s="11" t="s">
        <v>133</v>
      </c>
      <c r="C31" s="11" t="s">
        <v>155</v>
      </c>
      <c r="D31" s="11" t="s">
        <v>391</v>
      </c>
      <c r="E31" s="11">
        <v>1</v>
      </c>
    </row>
    <row r="32" spans="1:5" ht="24.75">
      <c r="A32" s="11" t="s">
        <v>237</v>
      </c>
      <c r="B32" s="11" t="s">
        <v>133</v>
      </c>
      <c r="C32" s="11" t="s">
        <v>155</v>
      </c>
      <c r="D32" s="11" t="s">
        <v>392</v>
      </c>
      <c r="E32" s="11">
        <v>1</v>
      </c>
    </row>
    <row r="33" spans="1:5" ht="24.75">
      <c r="A33" s="11" t="s">
        <v>237</v>
      </c>
      <c r="B33" s="11" t="s">
        <v>133</v>
      </c>
      <c r="C33" s="11" t="s">
        <v>155</v>
      </c>
      <c r="D33" s="11" t="s">
        <v>393</v>
      </c>
      <c r="E33" s="11">
        <v>1</v>
      </c>
    </row>
    <row r="34" spans="1:5" ht="24.75">
      <c r="A34" s="11" t="s">
        <v>237</v>
      </c>
      <c r="B34" s="11" t="s">
        <v>133</v>
      </c>
      <c r="C34" s="11" t="s">
        <v>155</v>
      </c>
      <c r="D34" s="11" t="s">
        <v>394</v>
      </c>
      <c r="E34" s="11">
        <v>1</v>
      </c>
    </row>
    <row r="35" spans="1:5" ht="24.75">
      <c r="A35" s="11" t="s">
        <v>237</v>
      </c>
      <c r="B35" s="11" t="s">
        <v>133</v>
      </c>
      <c r="C35" s="11" t="s">
        <v>155</v>
      </c>
      <c r="D35" s="11" t="s">
        <v>395</v>
      </c>
      <c r="E35" s="11">
        <v>1</v>
      </c>
    </row>
    <row r="36" spans="1:5" ht="24.75">
      <c r="A36" s="11" t="s">
        <v>237</v>
      </c>
      <c r="B36" s="11" t="s">
        <v>133</v>
      </c>
      <c r="C36" s="11" t="s">
        <v>155</v>
      </c>
      <c r="D36" s="11" t="s">
        <v>396</v>
      </c>
      <c r="E36" s="11">
        <v>1</v>
      </c>
    </row>
    <row r="37" spans="1:5" ht="24.75">
      <c r="A37" s="11" t="s">
        <v>237</v>
      </c>
      <c r="B37" s="11" t="s">
        <v>133</v>
      </c>
      <c r="C37" s="11" t="s">
        <v>155</v>
      </c>
      <c r="D37" s="11" t="s">
        <v>397</v>
      </c>
      <c r="E37" s="11">
        <v>1</v>
      </c>
    </row>
    <row r="38" spans="1:5" ht="24.75">
      <c r="A38" s="11" t="s">
        <v>237</v>
      </c>
      <c r="B38" s="11" t="s">
        <v>133</v>
      </c>
      <c r="C38" s="11" t="s">
        <v>155</v>
      </c>
      <c r="D38" s="11" t="s">
        <v>399</v>
      </c>
      <c r="E38" s="11">
        <v>1</v>
      </c>
    </row>
    <row r="39" spans="1:5" ht="24.75">
      <c r="A39" s="11" t="s">
        <v>237</v>
      </c>
      <c r="B39" s="11" t="s">
        <v>133</v>
      </c>
      <c r="C39" s="11" t="s">
        <v>155</v>
      </c>
      <c r="D39" s="11" t="s">
        <v>400</v>
      </c>
      <c r="E39" s="11">
        <v>1</v>
      </c>
    </row>
    <row r="40" spans="1:5" ht="24.75">
      <c r="A40" s="11" t="s">
        <v>237</v>
      </c>
      <c r="B40" s="11" t="s">
        <v>133</v>
      </c>
      <c r="C40" s="11" t="s">
        <v>155</v>
      </c>
      <c r="D40" s="11" t="s">
        <v>401</v>
      </c>
      <c r="E40" s="11">
        <v>1</v>
      </c>
    </row>
    <row r="41" spans="1:5" ht="24.75">
      <c r="A41" s="11" t="s">
        <v>237</v>
      </c>
      <c r="B41" s="11" t="s">
        <v>133</v>
      </c>
      <c r="C41" s="11" t="s">
        <v>155</v>
      </c>
      <c r="D41" s="11" t="s">
        <v>402</v>
      </c>
      <c r="E41" s="11">
        <v>1</v>
      </c>
    </row>
    <row r="42" spans="1:5" ht="24.75">
      <c r="A42" s="11" t="s">
        <v>237</v>
      </c>
      <c r="B42" s="11" t="s">
        <v>133</v>
      </c>
      <c r="C42" s="11" t="s">
        <v>155</v>
      </c>
      <c r="D42" s="11" t="s">
        <v>403</v>
      </c>
      <c r="E42" s="11">
        <v>1</v>
      </c>
    </row>
    <row r="43" spans="1:5" ht="24.75">
      <c r="A43" s="11" t="s">
        <v>237</v>
      </c>
      <c r="B43" s="11" t="s">
        <v>133</v>
      </c>
      <c r="C43" s="11" t="s">
        <v>155</v>
      </c>
      <c r="D43" s="11" t="s">
        <v>404</v>
      </c>
      <c r="E43" s="11">
        <v>1</v>
      </c>
    </row>
    <row r="44" spans="1:5" ht="24.75">
      <c r="A44" s="11" t="s">
        <v>237</v>
      </c>
      <c r="B44" s="11" t="s">
        <v>133</v>
      </c>
      <c r="C44" s="11" t="s">
        <v>155</v>
      </c>
      <c r="D44" s="11" t="s">
        <v>405</v>
      </c>
      <c r="E44" s="11">
        <v>1</v>
      </c>
    </row>
    <row r="45" spans="1:5" ht="24.75">
      <c r="A45" s="11" t="s">
        <v>237</v>
      </c>
      <c r="B45" s="11" t="s">
        <v>133</v>
      </c>
      <c r="C45" s="11" t="s">
        <v>155</v>
      </c>
      <c r="D45" s="11" t="s">
        <v>406</v>
      </c>
      <c r="E45" s="11">
        <v>1</v>
      </c>
    </row>
    <row r="46" spans="1:5" ht="24.75">
      <c r="A46" s="11" t="s">
        <v>237</v>
      </c>
      <c r="B46" s="11" t="s">
        <v>133</v>
      </c>
      <c r="C46" s="11" t="s">
        <v>155</v>
      </c>
      <c r="D46" s="11" t="s">
        <v>407</v>
      </c>
      <c r="E46" s="11">
        <v>1</v>
      </c>
    </row>
    <row r="47" spans="1:5" ht="24.75">
      <c r="A47" s="11" t="s">
        <v>237</v>
      </c>
      <c r="B47" s="11" t="s">
        <v>133</v>
      </c>
      <c r="C47" s="11" t="s">
        <v>155</v>
      </c>
      <c r="D47" s="11" t="s">
        <v>408</v>
      </c>
      <c r="E47" s="11">
        <v>1</v>
      </c>
    </row>
    <row r="48" spans="1:5" ht="24.75">
      <c r="A48" s="11" t="s">
        <v>237</v>
      </c>
      <c r="B48" s="11" t="s">
        <v>133</v>
      </c>
      <c r="C48" s="11" t="s">
        <v>155</v>
      </c>
      <c r="D48" s="11" t="s">
        <v>409</v>
      </c>
      <c r="E48" s="11">
        <v>1</v>
      </c>
    </row>
    <row r="49" spans="1:5" ht="24.75">
      <c r="A49" s="11" t="s">
        <v>237</v>
      </c>
      <c r="B49" s="11" t="s">
        <v>133</v>
      </c>
      <c r="C49" s="11" t="s">
        <v>155</v>
      </c>
      <c r="D49" s="11" t="s">
        <v>410</v>
      </c>
      <c r="E49" s="11">
        <v>1</v>
      </c>
    </row>
    <row r="50" spans="1:5" ht="24.75">
      <c r="A50" s="11" t="s">
        <v>237</v>
      </c>
      <c r="B50" s="11" t="s">
        <v>133</v>
      </c>
      <c r="C50" s="11" t="s">
        <v>155</v>
      </c>
      <c r="D50" s="11" t="s">
        <v>411</v>
      </c>
      <c r="E50" s="11">
        <v>1</v>
      </c>
    </row>
    <row r="51" spans="1:5" ht="24.75">
      <c r="A51" s="11" t="s">
        <v>237</v>
      </c>
      <c r="B51" s="11" t="s">
        <v>133</v>
      </c>
      <c r="C51" s="11" t="s">
        <v>155</v>
      </c>
      <c r="D51" s="11" t="s">
        <v>412</v>
      </c>
      <c r="E51" s="11">
        <v>1</v>
      </c>
    </row>
    <row r="52" spans="1:5" ht="24.75">
      <c r="A52" s="11" t="s">
        <v>237</v>
      </c>
      <c r="B52" s="11" t="s">
        <v>133</v>
      </c>
      <c r="C52" s="11" t="s">
        <v>155</v>
      </c>
      <c r="D52" s="11" t="s">
        <v>413</v>
      </c>
      <c r="E52" s="11">
        <v>1</v>
      </c>
    </row>
    <row r="53" spans="1:5" ht="24.75">
      <c r="A53" s="11" t="s">
        <v>237</v>
      </c>
      <c r="B53" s="11" t="s">
        <v>133</v>
      </c>
      <c r="C53" s="11" t="s">
        <v>155</v>
      </c>
      <c r="D53" s="11" t="s">
        <v>414</v>
      </c>
      <c r="E53" s="11">
        <v>1</v>
      </c>
    </row>
    <row r="54" spans="1:5">
      <c r="A54" s="1" t="s">
        <v>126</v>
      </c>
      <c r="B54" s="1" t="s">
        <v>126</v>
      </c>
      <c r="C54" s="1">
        <f>SUBTOTAL(103,Elements138201[Elemento])</f>
        <v>47</v>
      </c>
      <c r="D54" s="1" t="s">
        <v>126</v>
      </c>
      <c r="E54" s="1">
        <f>SUBTOTAL(109,Elements138201[Totais:])</f>
        <v>47</v>
      </c>
    </row>
  </sheetData>
  <mergeCells count="3">
    <mergeCell ref="A1:E2"/>
    <mergeCell ref="A4:E4"/>
    <mergeCell ref="A5:E5"/>
  </mergeCells>
  <hyperlinks>
    <hyperlink ref="A1" location="'13.8.20'!A1" display="CABO HDMI 2.1, 8K - 10 M" xr:uid="{00000000-0004-0000-3000-000000000000}"/>
    <hyperlink ref="B1" location="'13.8.20'!A1" display="CABO HDMI 2.1, 8K - 10 M" xr:uid="{00000000-0004-0000-3000-000001000000}"/>
    <hyperlink ref="C1" location="'13.8.20'!A1" display="CABO HDMI 2.1, 8K - 10 M" xr:uid="{00000000-0004-0000-3000-000002000000}"/>
    <hyperlink ref="D1" location="'13.8.20'!A1" display="CABO HDMI 2.1, 8K - 10 M" xr:uid="{00000000-0004-0000-3000-000003000000}"/>
    <hyperlink ref="E1" location="'13.8.20'!A1" display="CABO HDMI 2.1, 8K - 10 M" xr:uid="{00000000-0004-0000-3000-000004000000}"/>
    <hyperlink ref="A2" location="'13.8.20'!A1" display="CABO HDMI 2.1, 8K - 10 M" xr:uid="{00000000-0004-0000-3000-000005000000}"/>
    <hyperlink ref="B2" location="'13.8.20'!A1" display="CABO HDMI 2.1, 8K - 10 M" xr:uid="{00000000-0004-0000-3000-000006000000}"/>
    <hyperlink ref="C2" location="'13.8.20'!A1" display="CABO HDMI 2.1, 8K - 10 M" xr:uid="{00000000-0004-0000-3000-000007000000}"/>
    <hyperlink ref="D2" location="'13.8.20'!A1" display="CABO HDMI 2.1, 8K - 10 M" xr:uid="{00000000-0004-0000-3000-000008000000}"/>
    <hyperlink ref="E2" location="'13.8.20'!A1" display="CABO HDMI 2.1, 8K - 10 M" xr:uid="{00000000-0004-0000-3000-000009000000}"/>
    <hyperlink ref="A4" location="'13.8.20'!A1" display="Conduites (240,0mm²_Fase B)" xr:uid="{00000000-0004-0000-3000-00000A000000}"/>
    <hyperlink ref="B4" location="'13.8.20'!A1" display="Conduites (240,0mm²_Fase B)" xr:uid="{00000000-0004-0000-3000-00000B000000}"/>
    <hyperlink ref="C4" location="'13.8.20'!A1" display="Conduites (240,0mm²_Fase B)" xr:uid="{00000000-0004-0000-3000-00000C000000}"/>
    <hyperlink ref="D4" location="'13.8.20'!A1" display="Conduites (240,0mm²_Fase B)" xr:uid="{00000000-0004-0000-3000-00000D000000}"/>
    <hyperlink ref="E4" location="'13.8.20'!A1" display="Conduites (240,0mm²_Fase B)" xr:uid="{00000000-0004-0000-30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DFF0D8"/>
  </sheetPr>
  <dimension ref="A1:I24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6" t="s">
        <v>21</v>
      </c>
      <c r="B2" s="6" t="s">
        <v>22</v>
      </c>
      <c r="C2" s="6" t="s">
        <v>23</v>
      </c>
      <c r="D2" s="6" t="s">
        <v>24</v>
      </c>
      <c r="E2" s="6" t="s">
        <v>15</v>
      </c>
      <c r="F2" s="6" t="s">
        <v>25</v>
      </c>
      <c r="G2" s="6">
        <v>20.127649000000002</v>
      </c>
      <c r="H2" s="6">
        <v>24.122987326500006</v>
      </c>
      <c r="I2" s="6">
        <v>2090.7393115877558</v>
      </c>
    </row>
    <row r="5" spans="1:9">
      <c r="A5" s="16" t="s">
        <v>120</v>
      </c>
      <c r="B5" s="16" t="s">
        <v>120</v>
      </c>
      <c r="C5" s="16" t="s">
        <v>120</v>
      </c>
      <c r="D5" s="16" t="s">
        <v>120</v>
      </c>
      <c r="E5" s="16" t="s">
        <v>120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121</v>
      </c>
      <c r="C7" s="10" t="s">
        <v>122</v>
      </c>
      <c r="D7" s="10" t="s">
        <v>123</v>
      </c>
      <c r="E7" s="10" t="s">
        <v>9</v>
      </c>
    </row>
    <row r="8" spans="1:9">
      <c r="A8" s="11">
        <v>1</v>
      </c>
      <c r="B8" s="11" t="s">
        <v>124</v>
      </c>
      <c r="C8" s="11">
        <v>42</v>
      </c>
      <c r="D8" s="11" t="s">
        <v>125</v>
      </c>
      <c r="E8" s="11">
        <v>86.665242275648765</v>
      </c>
    </row>
    <row r="9" spans="1:9">
      <c r="A9" s="11" t="s">
        <v>126</v>
      </c>
      <c r="B9" s="11" t="s">
        <v>126</v>
      </c>
      <c r="C9" s="11">
        <f>SUBTOTAL(109,Criteria_Summary13.8.3[Elementos])</f>
        <v>42</v>
      </c>
      <c r="D9" s="11" t="s">
        <v>126</v>
      </c>
      <c r="E9" s="11">
        <f>SUBTOTAL(109,Criteria_Summary13.8.3[Total])</f>
        <v>86.665242275648765</v>
      </c>
    </row>
    <row r="10" spans="1:9">
      <c r="A10" s="12" t="s">
        <v>127</v>
      </c>
      <c r="B10" s="12">
        <v>0</v>
      </c>
      <c r="C10" s="13"/>
      <c r="D10" s="13"/>
      <c r="E10" s="12">
        <v>86.67</v>
      </c>
    </row>
    <row r="13" spans="1:9">
      <c r="A13" s="18" t="s">
        <v>125</v>
      </c>
      <c r="B13" s="18" t="s">
        <v>125</v>
      </c>
      <c r="C13" s="18" t="s">
        <v>125</v>
      </c>
      <c r="D13" s="18" t="s">
        <v>125</v>
      </c>
      <c r="E13" s="18" t="s">
        <v>125</v>
      </c>
    </row>
    <row r="14" spans="1:9">
      <c r="A14" s="19"/>
      <c r="B14" s="19"/>
      <c r="C14" s="19"/>
      <c r="D14" s="19"/>
      <c r="E14" s="19"/>
    </row>
    <row r="15" spans="1:9">
      <c r="A15" s="14" t="s">
        <v>121</v>
      </c>
      <c r="B15" s="14" t="s">
        <v>122</v>
      </c>
      <c r="C15" s="20" t="s">
        <v>128</v>
      </c>
      <c r="D15" s="20" t="s">
        <v>128</v>
      </c>
      <c r="E15" s="14" t="s">
        <v>9</v>
      </c>
    </row>
    <row r="16" spans="1:9">
      <c r="A16" s="11" t="s">
        <v>124</v>
      </c>
      <c r="B16" s="11">
        <v>42</v>
      </c>
      <c r="C16" s="21" t="s">
        <v>129</v>
      </c>
      <c r="D16" s="21" t="s">
        <v>129</v>
      </c>
      <c r="E16" s="11">
        <v>86.665242275648765</v>
      </c>
    </row>
    <row r="18" spans="1:5">
      <c r="A18" s="22" t="s">
        <v>130</v>
      </c>
      <c r="B18" s="22" t="s">
        <v>130</v>
      </c>
      <c r="C18" s="22" t="s">
        <v>130</v>
      </c>
      <c r="D18" s="22" t="s">
        <v>130</v>
      </c>
      <c r="E18" s="22" t="s">
        <v>130</v>
      </c>
    </row>
    <row r="19" spans="1:5">
      <c r="A19" s="20" t="s">
        <v>131</v>
      </c>
      <c r="B19" s="20" t="s">
        <v>131</v>
      </c>
      <c r="C19" s="20" t="s">
        <v>131</v>
      </c>
      <c r="D19" s="14" t="s">
        <v>132</v>
      </c>
      <c r="E19" s="14"/>
    </row>
    <row r="20" spans="1:5">
      <c r="A20" s="11"/>
      <c r="B20" s="11"/>
      <c r="C20" s="11"/>
      <c r="D20" s="11" t="s">
        <v>133</v>
      </c>
      <c r="E20" s="11" t="s">
        <v>134</v>
      </c>
    </row>
    <row r="22" spans="1:5">
      <c r="A22" s="22" t="s">
        <v>135</v>
      </c>
      <c r="B22" s="22" t="s">
        <v>135</v>
      </c>
      <c r="C22" s="22" t="s">
        <v>135</v>
      </c>
      <c r="D22" s="22" t="s">
        <v>135</v>
      </c>
      <c r="E22" s="22" t="s">
        <v>135</v>
      </c>
    </row>
    <row r="23" spans="1:5">
      <c r="A23" s="20" t="s">
        <v>136</v>
      </c>
      <c r="B23" s="14"/>
      <c r="C23" s="14"/>
      <c r="D23" s="14" t="s">
        <v>121</v>
      </c>
      <c r="E23" s="14"/>
    </row>
    <row r="24" spans="1:5">
      <c r="A24" s="21" t="s">
        <v>137</v>
      </c>
      <c r="B24" s="21" t="s">
        <v>137</v>
      </c>
      <c r="C24" s="21" t="s">
        <v>137</v>
      </c>
      <c r="D24" s="11" t="s">
        <v>150</v>
      </c>
      <c r="E24" s="11" t="s">
        <v>134</v>
      </c>
    </row>
  </sheetData>
  <mergeCells count="11">
    <mergeCell ref="A24:C24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8'!A1" display="13.8.3" xr:uid="{00000000-0004-0000-0400-000000000000}"/>
    <hyperlink ref="F2" location="'13.8.3E'!A1" display="86,67" xr:uid="{00000000-0004-0000-0400-000001000000}"/>
    <hyperlink ref="E10" location="'13.8.3E'!A1" display="'13.8.3E'!A1" xr:uid="{00000000-0004-0000-04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dimension ref="A1:E9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98</v>
      </c>
      <c r="B1" s="23" t="s">
        <v>98</v>
      </c>
      <c r="C1" s="23" t="s">
        <v>98</v>
      </c>
      <c r="D1" s="23" t="s">
        <v>98</v>
      </c>
      <c r="E1" s="23" t="s">
        <v>98</v>
      </c>
    </row>
    <row r="2" spans="1:5">
      <c r="A2" s="23" t="s">
        <v>98</v>
      </c>
      <c r="B2" s="23" t="s">
        <v>98</v>
      </c>
      <c r="C2" s="23" t="s">
        <v>98</v>
      </c>
      <c r="D2" s="23" t="s">
        <v>98</v>
      </c>
      <c r="E2" s="23" t="s">
        <v>98</v>
      </c>
    </row>
    <row r="4" spans="1:5">
      <c r="A4" s="18" t="s">
        <v>163</v>
      </c>
      <c r="B4" s="18" t="s">
        <v>163</v>
      </c>
      <c r="C4" s="18" t="s">
        <v>163</v>
      </c>
      <c r="D4" s="18" t="s">
        <v>163</v>
      </c>
      <c r="E4" s="18" t="s">
        <v>163</v>
      </c>
    </row>
    <row r="5" spans="1:5">
      <c r="A5" s="24" t="s">
        <v>126</v>
      </c>
      <c r="B5" s="24" t="s">
        <v>126</v>
      </c>
      <c r="C5" s="24" t="s">
        <v>126</v>
      </c>
      <c r="D5" s="24" t="s">
        <v>126</v>
      </c>
      <c r="E5" s="24" t="s">
        <v>126</v>
      </c>
    </row>
    <row r="6" spans="1:5">
      <c r="A6" s="10" t="s">
        <v>232</v>
      </c>
      <c r="B6" s="10" t="s">
        <v>233</v>
      </c>
      <c r="C6" s="10" t="s">
        <v>234</v>
      </c>
      <c r="D6" s="10" t="s">
        <v>235</v>
      </c>
      <c r="E6" s="10" t="s">
        <v>236</v>
      </c>
    </row>
    <row r="7" spans="1:5" ht="24.75">
      <c r="A7" s="11" t="s">
        <v>237</v>
      </c>
      <c r="B7" s="11" t="s">
        <v>133</v>
      </c>
      <c r="C7" s="11" t="s">
        <v>219</v>
      </c>
      <c r="D7" s="11" t="s">
        <v>1075</v>
      </c>
      <c r="E7" s="11">
        <v>1</v>
      </c>
    </row>
    <row r="8" spans="1:5" ht="24.75">
      <c r="A8" s="11" t="s">
        <v>237</v>
      </c>
      <c r="B8" s="11" t="s">
        <v>133</v>
      </c>
      <c r="C8" s="11" t="s">
        <v>219</v>
      </c>
      <c r="D8" s="11" t="s">
        <v>1076</v>
      </c>
      <c r="E8" s="11">
        <v>1</v>
      </c>
    </row>
    <row r="9" spans="1:5">
      <c r="A9" s="1" t="s">
        <v>126</v>
      </c>
      <c r="B9" s="1" t="s">
        <v>126</v>
      </c>
      <c r="C9" s="1">
        <f>SUBTOTAL(103,Elements138211[Elemento])</f>
        <v>2</v>
      </c>
      <c r="D9" s="1" t="s">
        <v>126</v>
      </c>
      <c r="E9" s="1">
        <f>SUBTOTAL(109,Elements138211[Totais:])</f>
        <v>2</v>
      </c>
    </row>
  </sheetData>
  <mergeCells count="3">
    <mergeCell ref="A1:E2"/>
    <mergeCell ref="A4:E4"/>
    <mergeCell ref="A5:E5"/>
  </mergeCells>
  <hyperlinks>
    <hyperlink ref="A1" location="'13.8.21'!A1" display="FILTRO DE LINHA PARA RACK" xr:uid="{00000000-0004-0000-3100-000000000000}"/>
    <hyperlink ref="B1" location="'13.8.21'!A1" display="FILTRO DE LINHA PARA RACK" xr:uid="{00000000-0004-0000-3100-000001000000}"/>
    <hyperlink ref="C1" location="'13.8.21'!A1" display="FILTRO DE LINHA PARA RACK" xr:uid="{00000000-0004-0000-3100-000002000000}"/>
    <hyperlink ref="D1" location="'13.8.21'!A1" display="FILTRO DE LINHA PARA RACK" xr:uid="{00000000-0004-0000-3100-000003000000}"/>
    <hyperlink ref="E1" location="'13.8.21'!A1" display="FILTRO DE LINHA PARA RACK" xr:uid="{00000000-0004-0000-3100-000004000000}"/>
    <hyperlink ref="A2" location="'13.8.21'!A1" display="FILTRO DE LINHA PARA RACK" xr:uid="{00000000-0004-0000-3100-000005000000}"/>
    <hyperlink ref="B2" location="'13.8.21'!A1" display="FILTRO DE LINHA PARA RACK" xr:uid="{00000000-0004-0000-3100-000006000000}"/>
    <hyperlink ref="C2" location="'13.8.21'!A1" display="FILTRO DE LINHA PARA RACK" xr:uid="{00000000-0004-0000-3100-000007000000}"/>
    <hyperlink ref="D2" location="'13.8.21'!A1" display="FILTRO DE LINHA PARA RACK" xr:uid="{00000000-0004-0000-3100-000008000000}"/>
    <hyperlink ref="E2" location="'13.8.21'!A1" display="FILTRO DE LINHA PARA RACK" xr:uid="{00000000-0004-0000-3100-000009000000}"/>
    <hyperlink ref="A4" location="'13.8.21'!A1" display="Equipamento elétrico (A)" xr:uid="{00000000-0004-0000-3100-00000A000000}"/>
    <hyperlink ref="B4" location="'13.8.21'!A1" display="Equipamento elétrico (A)" xr:uid="{00000000-0004-0000-3100-00000B000000}"/>
    <hyperlink ref="C4" location="'13.8.21'!A1" display="Equipamento elétrico (A)" xr:uid="{00000000-0004-0000-3100-00000C000000}"/>
    <hyperlink ref="D4" location="'13.8.21'!A1" display="Equipamento elétrico (A)" xr:uid="{00000000-0004-0000-3100-00000D000000}"/>
    <hyperlink ref="E4" location="'13.8.21'!A1" display="Equipamento elétrico (A)" xr:uid="{00000000-0004-0000-31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dimension ref="A1:E9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102</v>
      </c>
      <c r="B1" s="23" t="s">
        <v>102</v>
      </c>
      <c r="C1" s="23" t="s">
        <v>102</v>
      </c>
      <c r="D1" s="23" t="s">
        <v>102</v>
      </c>
      <c r="E1" s="23" t="s">
        <v>102</v>
      </c>
    </row>
    <row r="2" spans="1:5">
      <c r="A2" s="23" t="s">
        <v>102</v>
      </c>
      <c r="B2" s="23" t="s">
        <v>102</v>
      </c>
      <c r="C2" s="23" t="s">
        <v>102</v>
      </c>
      <c r="D2" s="23" t="s">
        <v>102</v>
      </c>
      <c r="E2" s="23" t="s">
        <v>102</v>
      </c>
    </row>
    <row r="4" spans="1:5">
      <c r="A4" s="18" t="s">
        <v>163</v>
      </c>
      <c r="B4" s="18" t="s">
        <v>163</v>
      </c>
      <c r="C4" s="18" t="s">
        <v>163</v>
      </c>
      <c r="D4" s="18" t="s">
        <v>163</v>
      </c>
      <c r="E4" s="18" t="s">
        <v>163</v>
      </c>
    </row>
    <row r="5" spans="1:5">
      <c r="A5" s="24" t="s">
        <v>126</v>
      </c>
      <c r="B5" s="24" t="s">
        <v>126</v>
      </c>
      <c r="C5" s="24" t="s">
        <v>126</v>
      </c>
      <c r="D5" s="24" t="s">
        <v>126</v>
      </c>
      <c r="E5" s="24" t="s">
        <v>126</v>
      </c>
    </row>
    <row r="6" spans="1:5">
      <c r="A6" s="10" t="s">
        <v>232</v>
      </c>
      <c r="B6" s="10" t="s">
        <v>233</v>
      </c>
      <c r="C6" s="10" t="s">
        <v>234</v>
      </c>
      <c r="D6" s="10" t="s">
        <v>235</v>
      </c>
      <c r="E6" s="10" t="s">
        <v>236</v>
      </c>
    </row>
    <row r="7" spans="1:5" ht="24.75">
      <c r="A7" s="11" t="s">
        <v>237</v>
      </c>
      <c r="B7" s="11" t="s">
        <v>133</v>
      </c>
      <c r="C7" s="11" t="s">
        <v>1077</v>
      </c>
      <c r="D7" s="11" t="s">
        <v>1078</v>
      </c>
      <c r="E7" s="11">
        <v>1</v>
      </c>
    </row>
    <row r="8" spans="1:5" ht="24.75">
      <c r="A8" s="11" t="s">
        <v>237</v>
      </c>
      <c r="B8" s="11" t="s">
        <v>133</v>
      </c>
      <c r="C8" s="11" t="s">
        <v>1079</v>
      </c>
      <c r="D8" s="11" t="s">
        <v>1080</v>
      </c>
      <c r="E8" s="11">
        <v>1</v>
      </c>
    </row>
    <row r="9" spans="1:5">
      <c r="A9" s="1" t="s">
        <v>126</v>
      </c>
      <c r="B9" s="1" t="s">
        <v>126</v>
      </c>
      <c r="C9" s="1">
        <f>SUBTOTAL(103,Elements138221[Elemento])</f>
        <v>2</v>
      </c>
      <c r="D9" s="1" t="s">
        <v>126</v>
      </c>
      <c r="E9" s="1">
        <f>SUBTOTAL(109,Elements138221[Totais:])</f>
        <v>2</v>
      </c>
    </row>
  </sheetData>
  <mergeCells count="3">
    <mergeCell ref="A1:E2"/>
    <mergeCell ref="A4:E4"/>
    <mergeCell ref="A5:E5"/>
  </mergeCells>
  <hyperlinks>
    <hyperlink ref="A1" location="'13.8.22'!A1" display="RACK FECHADO PARA SERVIDOR - FORNECIMENTO E INSTALAÇÃO. AF_11/2019" xr:uid="{00000000-0004-0000-3200-000000000000}"/>
    <hyperlink ref="B1" location="'13.8.22'!A1" display="RACK FECHADO PARA SERVIDOR - FORNECIMENTO E INSTALAÇÃO. AF_11/2019" xr:uid="{00000000-0004-0000-3200-000001000000}"/>
    <hyperlink ref="C1" location="'13.8.22'!A1" display="RACK FECHADO PARA SERVIDOR - FORNECIMENTO E INSTALAÇÃO. AF_11/2019" xr:uid="{00000000-0004-0000-3200-000002000000}"/>
    <hyperlink ref="D1" location="'13.8.22'!A1" display="RACK FECHADO PARA SERVIDOR - FORNECIMENTO E INSTALAÇÃO. AF_11/2019" xr:uid="{00000000-0004-0000-3200-000003000000}"/>
    <hyperlink ref="E1" location="'13.8.22'!A1" display="RACK FECHADO PARA SERVIDOR - FORNECIMENTO E INSTALAÇÃO. AF_11/2019" xr:uid="{00000000-0004-0000-3200-000004000000}"/>
    <hyperlink ref="A2" location="'13.8.22'!A1" display="RACK FECHADO PARA SERVIDOR - FORNECIMENTO E INSTALAÇÃO. AF_11/2019" xr:uid="{00000000-0004-0000-3200-000005000000}"/>
    <hyperlink ref="B2" location="'13.8.22'!A1" display="RACK FECHADO PARA SERVIDOR - FORNECIMENTO E INSTALAÇÃO. AF_11/2019" xr:uid="{00000000-0004-0000-3200-000006000000}"/>
    <hyperlink ref="C2" location="'13.8.22'!A1" display="RACK FECHADO PARA SERVIDOR - FORNECIMENTO E INSTALAÇÃO. AF_11/2019" xr:uid="{00000000-0004-0000-3200-000007000000}"/>
    <hyperlink ref="D2" location="'13.8.22'!A1" display="RACK FECHADO PARA SERVIDOR - FORNECIMENTO E INSTALAÇÃO. AF_11/2019" xr:uid="{00000000-0004-0000-3200-000008000000}"/>
    <hyperlink ref="E2" location="'13.8.22'!A1" display="RACK FECHADO PARA SERVIDOR - FORNECIMENTO E INSTALAÇÃO. AF_11/2019" xr:uid="{00000000-0004-0000-3200-000009000000}"/>
    <hyperlink ref="A4" location="'13.8.22'!A1" display="Equipamento elétrico (A)" xr:uid="{00000000-0004-0000-3200-00000A000000}"/>
    <hyperlink ref="B4" location="'13.8.22'!A1" display="Equipamento elétrico (A)" xr:uid="{00000000-0004-0000-3200-00000B000000}"/>
    <hyperlink ref="C4" location="'13.8.22'!A1" display="Equipamento elétrico (A)" xr:uid="{00000000-0004-0000-3200-00000C000000}"/>
    <hyperlink ref="D4" location="'13.8.22'!A1" display="Equipamento elétrico (A)" xr:uid="{00000000-0004-0000-3200-00000D000000}"/>
    <hyperlink ref="E4" location="'13.8.22'!A1" display="Equipamento elétrico (A)" xr:uid="{00000000-0004-0000-32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300-000000000000}">
  <dimension ref="A1:E9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105</v>
      </c>
      <c r="B1" s="23" t="s">
        <v>105</v>
      </c>
      <c r="C1" s="23" t="s">
        <v>105</v>
      </c>
      <c r="D1" s="23" t="s">
        <v>105</v>
      </c>
      <c r="E1" s="23" t="s">
        <v>105</v>
      </c>
    </row>
    <row r="2" spans="1:5">
      <c r="A2" s="23" t="s">
        <v>105</v>
      </c>
      <c r="B2" s="23" t="s">
        <v>105</v>
      </c>
      <c r="C2" s="23" t="s">
        <v>105</v>
      </c>
      <c r="D2" s="23" t="s">
        <v>105</v>
      </c>
      <c r="E2" s="23" t="s">
        <v>105</v>
      </c>
    </row>
    <row r="4" spans="1:5">
      <c r="A4" s="18" t="s">
        <v>163</v>
      </c>
      <c r="B4" s="18" t="s">
        <v>163</v>
      </c>
      <c r="C4" s="18" t="s">
        <v>163</v>
      </c>
      <c r="D4" s="18" t="s">
        <v>163</v>
      </c>
      <c r="E4" s="18" t="s">
        <v>163</v>
      </c>
    </row>
    <row r="5" spans="1:5">
      <c r="A5" s="24" t="s">
        <v>126</v>
      </c>
      <c r="B5" s="24" t="s">
        <v>126</v>
      </c>
      <c r="C5" s="24" t="s">
        <v>126</v>
      </c>
      <c r="D5" s="24" t="s">
        <v>126</v>
      </c>
      <c r="E5" s="24" t="s">
        <v>126</v>
      </c>
    </row>
    <row r="6" spans="1:5">
      <c r="A6" s="10" t="s">
        <v>232</v>
      </c>
      <c r="B6" s="10" t="s">
        <v>233</v>
      </c>
      <c r="C6" s="10" t="s">
        <v>234</v>
      </c>
      <c r="D6" s="10" t="s">
        <v>235</v>
      </c>
      <c r="E6" s="10" t="s">
        <v>236</v>
      </c>
    </row>
    <row r="7" spans="1:5" ht="24.75">
      <c r="A7" s="11" t="s">
        <v>237</v>
      </c>
      <c r="B7" s="11" t="s">
        <v>133</v>
      </c>
      <c r="C7" s="11" t="s">
        <v>222</v>
      </c>
      <c r="D7" s="11" t="s">
        <v>1081</v>
      </c>
      <c r="E7" s="11">
        <v>1</v>
      </c>
    </row>
    <row r="8" spans="1:5" ht="24.75">
      <c r="A8" s="11" t="s">
        <v>237</v>
      </c>
      <c r="B8" s="11" t="s">
        <v>133</v>
      </c>
      <c r="C8" s="11" t="s">
        <v>222</v>
      </c>
      <c r="D8" s="11" t="s">
        <v>1082</v>
      </c>
      <c r="E8" s="11">
        <v>1</v>
      </c>
    </row>
    <row r="9" spans="1:5">
      <c r="A9" s="1" t="s">
        <v>126</v>
      </c>
      <c r="B9" s="1" t="s">
        <v>126</v>
      </c>
      <c r="C9" s="1">
        <f>SUBTOTAL(103,Elements138231[Elemento])</f>
        <v>2</v>
      </c>
      <c r="D9" s="1" t="s">
        <v>126</v>
      </c>
      <c r="E9" s="1">
        <f>SUBTOTAL(109,Elements138231[Totais:])</f>
        <v>2</v>
      </c>
    </row>
  </sheetData>
  <mergeCells count="3">
    <mergeCell ref="A1:E2"/>
    <mergeCell ref="A4:E4"/>
    <mergeCell ref="A5:E5"/>
  </mergeCells>
  <hyperlinks>
    <hyperlink ref="A1" location="'13.8.23'!A1" display="KIT VENTILAÇÃO PARA RACK" xr:uid="{00000000-0004-0000-3300-000000000000}"/>
    <hyperlink ref="B1" location="'13.8.23'!A1" display="KIT VENTILAÇÃO PARA RACK" xr:uid="{00000000-0004-0000-3300-000001000000}"/>
    <hyperlink ref="C1" location="'13.8.23'!A1" display="KIT VENTILAÇÃO PARA RACK" xr:uid="{00000000-0004-0000-3300-000002000000}"/>
    <hyperlink ref="D1" location="'13.8.23'!A1" display="KIT VENTILAÇÃO PARA RACK" xr:uid="{00000000-0004-0000-3300-000003000000}"/>
    <hyperlink ref="E1" location="'13.8.23'!A1" display="KIT VENTILAÇÃO PARA RACK" xr:uid="{00000000-0004-0000-3300-000004000000}"/>
    <hyperlink ref="A2" location="'13.8.23'!A1" display="KIT VENTILAÇÃO PARA RACK" xr:uid="{00000000-0004-0000-3300-000005000000}"/>
    <hyperlink ref="B2" location="'13.8.23'!A1" display="KIT VENTILAÇÃO PARA RACK" xr:uid="{00000000-0004-0000-3300-000006000000}"/>
    <hyperlink ref="C2" location="'13.8.23'!A1" display="KIT VENTILAÇÃO PARA RACK" xr:uid="{00000000-0004-0000-3300-000007000000}"/>
    <hyperlink ref="D2" location="'13.8.23'!A1" display="KIT VENTILAÇÃO PARA RACK" xr:uid="{00000000-0004-0000-3300-000008000000}"/>
    <hyperlink ref="E2" location="'13.8.23'!A1" display="KIT VENTILAÇÃO PARA RACK" xr:uid="{00000000-0004-0000-3300-000009000000}"/>
    <hyperlink ref="A4" location="'13.8.23'!A1" display="Equipamento elétrico (A)" xr:uid="{00000000-0004-0000-3300-00000A000000}"/>
    <hyperlink ref="B4" location="'13.8.23'!A1" display="Equipamento elétrico (A)" xr:uid="{00000000-0004-0000-3300-00000B000000}"/>
    <hyperlink ref="C4" location="'13.8.23'!A1" display="Equipamento elétrico (A)" xr:uid="{00000000-0004-0000-3300-00000C000000}"/>
    <hyperlink ref="D4" location="'13.8.23'!A1" display="Equipamento elétrico (A)" xr:uid="{00000000-0004-0000-3300-00000D000000}"/>
    <hyperlink ref="E4" location="'13.8.23'!A1" display="Equipamento elétrico (A)" xr:uid="{00000000-0004-0000-33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400-000000000000}">
  <dimension ref="A1:E9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108</v>
      </c>
      <c r="B1" s="23" t="s">
        <v>108</v>
      </c>
      <c r="C1" s="23" t="s">
        <v>108</v>
      </c>
      <c r="D1" s="23" t="s">
        <v>108</v>
      </c>
      <c r="E1" s="23" t="s">
        <v>108</v>
      </c>
    </row>
    <row r="2" spans="1:5">
      <c r="A2" s="23" t="s">
        <v>108</v>
      </c>
      <c r="B2" s="23" t="s">
        <v>108</v>
      </c>
      <c r="C2" s="23" t="s">
        <v>108</v>
      </c>
      <c r="D2" s="23" t="s">
        <v>108</v>
      </c>
      <c r="E2" s="23" t="s">
        <v>108</v>
      </c>
    </row>
    <row r="4" spans="1:5">
      <c r="A4" s="18" t="s">
        <v>163</v>
      </c>
      <c r="B4" s="18" t="s">
        <v>163</v>
      </c>
      <c r="C4" s="18" t="s">
        <v>163</v>
      </c>
      <c r="D4" s="18" t="s">
        <v>163</v>
      </c>
      <c r="E4" s="18" t="s">
        <v>163</v>
      </c>
    </row>
    <row r="5" spans="1:5">
      <c r="A5" s="24" t="s">
        <v>126</v>
      </c>
      <c r="B5" s="24" t="s">
        <v>126</v>
      </c>
      <c r="C5" s="24" t="s">
        <v>126</v>
      </c>
      <c r="D5" s="24" t="s">
        <v>126</v>
      </c>
      <c r="E5" s="24" t="s">
        <v>126</v>
      </c>
    </row>
    <row r="6" spans="1:5">
      <c r="A6" s="10" t="s">
        <v>232</v>
      </c>
      <c r="B6" s="10" t="s">
        <v>233</v>
      </c>
      <c r="C6" s="10" t="s">
        <v>234</v>
      </c>
      <c r="D6" s="10" t="s">
        <v>235</v>
      </c>
      <c r="E6" s="10" t="s">
        <v>236</v>
      </c>
    </row>
    <row r="7" spans="1:5" ht="24.75">
      <c r="A7" s="11" t="s">
        <v>237</v>
      </c>
      <c r="B7" s="11" t="s">
        <v>133</v>
      </c>
      <c r="C7" s="11" t="s">
        <v>224</v>
      </c>
      <c r="D7" s="11" t="s">
        <v>1083</v>
      </c>
      <c r="E7" s="11">
        <v>1</v>
      </c>
    </row>
    <row r="8" spans="1:5" ht="24.75">
      <c r="A8" s="11" t="s">
        <v>237</v>
      </c>
      <c r="B8" s="11" t="s">
        <v>133</v>
      </c>
      <c r="C8" s="11" t="s">
        <v>224</v>
      </c>
      <c r="D8" s="11" t="s">
        <v>1084</v>
      </c>
      <c r="E8" s="11">
        <v>1</v>
      </c>
    </row>
    <row r="9" spans="1:5">
      <c r="A9" s="1" t="s">
        <v>126</v>
      </c>
      <c r="B9" s="1" t="s">
        <v>126</v>
      </c>
      <c r="C9" s="1">
        <f>SUBTOTAL(103,Elements138241[Elemento])</f>
        <v>2</v>
      </c>
      <c r="D9" s="1" t="s">
        <v>126</v>
      </c>
      <c r="E9" s="1">
        <f>SUBTOTAL(109,Elements138241[Totais:])</f>
        <v>2</v>
      </c>
    </row>
  </sheetData>
  <mergeCells count="3">
    <mergeCell ref="A1:E2"/>
    <mergeCell ref="A4:E4"/>
    <mergeCell ref="A5:E5"/>
  </mergeCells>
  <hyperlinks>
    <hyperlink ref="A1" location="'13.8.24'!A1" display="STORAGE RAID 4 BAIAS COM CAPACIDADE PARA 20 TERABYTES" xr:uid="{00000000-0004-0000-3400-000000000000}"/>
    <hyperlink ref="B1" location="'13.8.24'!A1" display="STORAGE RAID 4 BAIAS COM CAPACIDADE PARA 20 TERABYTES" xr:uid="{00000000-0004-0000-3400-000001000000}"/>
    <hyperlink ref="C1" location="'13.8.24'!A1" display="STORAGE RAID 4 BAIAS COM CAPACIDADE PARA 20 TERABYTES" xr:uid="{00000000-0004-0000-3400-000002000000}"/>
    <hyperlink ref="D1" location="'13.8.24'!A1" display="STORAGE RAID 4 BAIAS COM CAPACIDADE PARA 20 TERABYTES" xr:uid="{00000000-0004-0000-3400-000003000000}"/>
    <hyperlink ref="E1" location="'13.8.24'!A1" display="STORAGE RAID 4 BAIAS COM CAPACIDADE PARA 20 TERABYTES" xr:uid="{00000000-0004-0000-3400-000004000000}"/>
    <hyperlink ref="A2" location="'13.8.24'!A1" display="STORAGE RAID 4 BAIAS COM CAPACIDADE PARA 20 TERABYTES" xr:uid="{00000000-0004-0000-3400-000005000000}"/>
    <hyperlink ref="B2" location="'13.8.24'!A1" display="STORAGE RAID 4 BAIAS COM CAPACIDADE PARA 20 TERABYTES" xr:uid="{00000000-0004-0000-3400-000006000000}"/>
    <hyperlink ref="C2" location="'13.8.24'!A1" display="STORAGE RAID 4 BAIAS COM CAPACIDADE PARA 20 TERABYTES" xr:uid="{00000000-0004-0000-3400-000007000000}"/>
    <hyperlink ref="D2" location="'13.8.24'!A1" display="STORAGE RAID 4 BAIAS COM CAPACIDADE PARA 20 TERABYTES" xr:uid="{00000000-0004-0000-3400-000008000000}"/>
    <hyperlink ref="E2" location="'13.8.24'!A1" display="STORAGE RAID 4 BAIAS COM CAPACIDADE PARA 20 TERABYTES" xr:uid="{00000000-0004-0000-3400-000009000000}"/>
    <hyperlink ref="A4" location="'13.8.24'!A1" display="Equipamento elétrico (A)" xr:uid="{00000000-0004-0000-3400-00000A000000}"/>
    <hyperlink ref="B4" location="'13.8.24'!A1" display="Equipamento elétrico (A)" xr:uid="{00000000-0004-0000-3400-00000B000000}"/>
    <hyperlink ref="C4" location="'13.8.24'!A1" display="Equipamento elétrico (A)" xr:uid="{00000000-0004-0000-3400-00000C000000}"/>
    <hyperlink ref="D4" location="'13.8.24'!A1" display="Equipamento elétrico (A)" xr:uid="{00000000-0004-0000-3400-00000D000000}"/>
    <hyperlink ref="E4" location="'13.8.24'!A1" display="Equipamento elétrico (A)" xr:uid="{00000000-0004-0000-34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500-000000000000}">
  <dimension ref="A1:E11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111</v>
      </c>
      <c r="B1" s="23" t="s">
        <v>111</v>
      </c>
      <c r="C1" s="23" t="s">
        <v>111</v>
      </c>
      <c r="D1" s="23" t="s">
        <v>111</v>
      </c>
      <c r="E1" s="23" t="s">
        <v>111</v>
      </c>
    </row>
    <row r="2" spans="1:5">
      <c r="A2" s="23" t="s">
        <v>111</v>
      </c>
      <c r="B2" s="23" t="s">
        <v>111</v>
      </c>
      <c r="C2" s="23" t="s">
        <v>111</v>
      </c>
      <c r="D2" s="23" t="s">
        <v>111</v>
      </c>
      <c r="E2" s="23" t="s">
        <v>111</v>
      </c>
    </row>
    <row r="4" spans="1:5">
      <c r="A4" s="18" t="s">
        <v>226</v>
      </c>
      <c r="B4" s="18" t="s">
        <v>226</v>
      </c>
      <c r="C4" s="18" t="s">
        <v>226</v>
      </c>
      <c r="D4" s="18" t="s">
        <v>226</v>
      </c>
      <c r="E4" s="18" t="s">
        <v>226</v>
      </c>
    </row>
    <row r="5" spans="1:5">
      <c r="A5" s="24" t="s">
        <v>126</v>
      </c>
      <c r="B5" s="24" t="s">
        <v>126</v>
      </c>
      <c r="C5" s="24" t="s">
        <v>126</v>
      </c>
      <c r="D5" s="24" t="s">
        <v>126</v>
      </c>
      <c r="E5" s="24" t="s">
        <v>126</v>
      </c>
    </row>
    <row r="6" spans="1:5">
      <c r="A6" s="10" t="s">
        <v>232</v>
      </c>
      <c r="B6" s="10" t="s">
        <v>233</v>
      </c>
      <c r="C6" s="10" t="s">
        <v>234</v>
      </c>
      <c r="D6" s="10" t="s">
        <v>235</v>
      </c>
      <c r="E6" s="10" t="s">
        <v>236</v>
      </c>
    </row>
    <row r="7" spans="1:5" ht="24.75">
      <c r="A7" s="11" t="s">
        <v>237</v>
      </c>
      <c r="B7" s="11" t="s">
        <v>133</v>
      </c>
      <c r="C7" s="11" t="s">
        <v>227</v>
      </c>
      <c r="D7" s="11" t="s">
        <v>1085</v>
      </c>
      <c r="E7" s="11">
        <v>1</v>
      </c>
    </row>
    <row r="8" spans="1:5" ht="24.75">
      <c r="A8" s="11" t="s">
        <v>237</v>
      </c>
      <c r="B8" s="11" t="s">
        <v>133</v>
      </c>
      <c r="C8" s="11" t="s">
        <v>227</v>
      </c>
      <c r="D8" s="11" t="s">
        <v>1086</v>
      </c>
      <c r="E8" s="11">
        <v>1</v>
      </c>
    </row>
    <row r="9" spans="1:5" ht="24.75">
      <c r="A9" s="11" t="s">
        <v>237</v>
      </c>
      <c r="B9" s="11" t="s">
        <v>133</v>
      </c>
      <c r="C9" s="11" t="s">
        <v>227</v>
      </c>
      <c r="D9" s="11" t="s">
        <v>1087</v>
      </c>
      <c r="E9" s="11">
        <v>1</v>
      </c>
    </row>
    <row r="10" spans="1:5" ht="24.75">
      <c r="A10" s="11" t="s">
        <v>237</v>
      </c>
      <c r="B10" s="11" t="s">
        <v>133</v>
      </c>
      <c r="C10" s="11" t="s">
        <v>227</v>
      </c>
      <c r="D10" s="11" t="s">
        <v>1088</v>
      </c>
      <c r="E10" s="11">
        <v>1</v>
      </c>
    </row>
    <row r="11" spans="1:5">
      <c r="A11" s="1" t="s">
        <v>126</v>
      </c>
      <c r="B11" s="1" t="s">
        <v>126</v>
      </c>
      <c r="C11" s="1">
        <f>SUBTOTAL(103,Elements138251[Elemento])</f>
        <v>4</v>
      </c>
      <c r="D11" s="1" t="s">
        <v>126</v>
      </c>
      <c r="E11" s="1">
        <f>SUBTOTAL(109,Elements138251[Totais:])</f>
        <v>4</v>
      </c>
    </row>
  </sheetData>
  <mergeCells count="3">
    <mergeCell ref="A1:E2"/>
    <mergeCell ref="A4:E4"/>
    <mergeCell ref="A5:E5"/>
  </mergeCells>
  <hyperlinks>
    <hyperlink ref="A1" location="'13.8.25'!A1" display="Switch com 48 portas 2 giga Ethernet" xr:uid="{00000000-0004-0000-3500-000000000000}"/>
    <hyperlink ref="B1" location="'13.8.25'!A1" display="Switch com 48 portas 2 giga Ethernet" xr:uid="{00000000-0004-0000-3500-000001000000}"/>
    <hyperlink ref="C1" location="'13.8.25'!A1" display="Switch com 48 portas 2 giga Ethernet" xr:uid="{00000000-0004-0000-3500-000002000000}"/>
    <hyperlink ref="D1" location="'13.8.25'!A1" display="Switch com 48 portas 2 giga Ethernet" xr:uid="{00000000-0004-0000-3500-000003000000}"/>
    <hyperlink ref="E1" location="'13.8.25'!A1" display="Switch com 48 portas 2 giga Ethernet" xr:uid="{00000000-0004-0000-3500-000004000000}"/>
    <hyperlink ref="A2" location="'13.8.25'!A1" display="Switch com 48 portas 2 giga Ethernet" xr:uid="{00000000-0004-0000-3500-000005000000}"/>
    <hyperlink ref="B2" location="'13.8.25'!A1" display="Switch com 48 portas 2 giga Ethernet" xr:uid="{00000000-0004-0000-3500-000006000000}"/>
    <hyperlink ref="C2" location="'13.8.25'!A1" display="Switch com 48 portas 2 giga Ethernet" xr:uid="{00000000-0004-0000-3500-000007000000}"/>
    <hyperlink ref="D2" location="'13.8.25'!A1" display="Switch com 48 portas 2 giga Ethernet" xr:uid="{00000000-0004-0000-3500-000008000000}"/>
    <hyperlink ref="E2" location="'13.8.25'!A1" display="Switch com 48 portas 2 giga Ethernet" xr:uid="{00000000-0004-0000-3500-000009000000}"/>
    <hyperlink ref="A4" location="'13.8.25'!A1" display="Equipamento elétrico (Altura)" xr:uid="{00000000-0004-0000-3500-00000A000000}"/>
    <hyperlink ref="B4" location="'13.8.25'!A1" display="Equipamento elétrico (Altura)" xr:uid="{00000000-0004-0000-3500-00000B000000}"/>
    <hyperlink ref="C4" location="'13.8.25'!A1" display="Equipamento elétrico (Altura)" xr:uid="{00000000-0004-0000-3500-00000C000000}"/>
    <hyperlink ref="D4" location="'13.8.25'!A1" display="Equipamento elétrico (Altura)" xr:uid="{00000000-0004-0000-3500-00000D000000}"/>
    <hyperlink ref="E4" location="'13.8.25'!A1" display="Equipamento elétrico (Altura)" xr:uid="{00000000-0004-0000-35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600-000000000000}">
  <dimension ref="A1:E11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115</v>
      </c>
      <c r="B1" s="23" t="s">
        <v>115</v>
      </c>
      <c r="C1" s="23" t="s">
        <v>115</v>
      </c>
      <c r="D1" s="23" t="s">
        <v>115</v>
      </c>
      <c r="E1" s="23" t="s">
        <v>115</v>
      </c>
    </row>
    <row r="2" spans="1:5">
      <c r="A2" s="23" t="s">
        <v>115</v>
      </c>
      <c r="B2" s="23" t="s">
        <v>115</v>
      </c>
      <c r="C2" s="23" t="s">
        <v>115</v>
      </c>
      <c r="D2" s="23" t="s">
        <v>115</v>
      </c>
      <c r="E2" s="23" t="s">
        <v>115</v>
      </c>
    </row>
    <row r="4" spans="1:5">
      <c r="A4" s="18" t="s">
        <v>163</v>
      </c>
      <c r="B4" s="18" t="s">
        <v>163</v>
      </c>
      <c r="C4" s="18" t="s">
        <v>163</v>
      </c>
      <c r="D4" s="18" t="s">
        <v>163</v>
      </c>
      <c r="E4" s="18" t="s">
        <v>163</v>
      </c>
    </row>
    <row r="5" spans="1:5">
      <c r="A5" s="24" t="s">
        <v>126</v>
      </c>
      <c r="B5" s="24" t="s">
        <v>126</v>
      </c>
      <c r="C5" s="24" t="s">
        <v>126</v>
      </c>
      <c r="D5" s="24" t="s">
        <v>126</v>
      </c>
      <c r="E5" s="24" t="s">
        <v>126</v>
      </c>
    </row>
    <row r="6" spans="1:5">
      <c r="A6" s="10" t="s">
        <v>232</v>
      </c>
      <c r="B6" s="10" t="s">
        <v>233</v>
      </c>
      <c r="C6" s="10" t="s">
        <v>234</v>
      </c>
      <c r="D6" s="10" t="s">
        <v>235</v>
      </c>
      <c r="E6" s="10" t="s">
        <v>236</v>
      </c>
    </row>
    <row r="7" spans="1:5" ht="24.75">
      <c r="A7" s="11" t="s">
        <v>237</v>
      </c>
      <c r="B7" s="11" t="s">
        <v>133</v>
      </c>
      <c r="C7" s="11" t="s">
        <v>229</v>
      </c>
      <c r="D7" s="11" t="s">
        <v>1089</v>
      </c>
      <c r="E7" s="11">
        <v>1</v>
      </c>
    </row>
    <row r="8" spans="1:5" ht="24.75">
      <c r="A8" s="11" t="s">
        <v>237</v>
      </c>
      <c r="B8" s="11" t="s">
        <v>133</v>
      </c>
      <c r="C8" s="11" t="s">
        <v>229</v>
      </c>
      <c r="D8" s="11" t="s">
        <v>1090</v>
      </c>
      <c r="E8" s="11">
        <v>1</v>
      </c>
    </row>
    <row r="9" spans="1:5" ht="24.75">
      <c r="A9" s="11" t="s">
        <v>237</v>
      </c>
      <c r="B9" s="11" t="s">
        <v>133</v>
      </c>
      <c r="C9" s="11" t="s">
        <v>229</v>
      </c>
      <c r="D9" s="11" t="s">
        <v>1091</v>
      </c>
      <c r="E9" s="11">
        <v>1</v>
      </c>
    </row>
    <row r="10" spans="1:5" ht="24.75">
      <c r="A10" s="11" t="s">
        <v>237</v>
      </c>
      <c r="B10" s="11" t="s">
        <v>133</v>
      </c>
      <c r="C10" s="11" t="s">
        <v>229</v>
      </c>
      <c r="D10" s="11" t="s">
        <v>1092</v>
      </c>
      <c r="E10" s="11">
        <v>1</v>
      </c>
    </row>
    <row r="11" spans="1:5">
      <c r="A11" s="1" t="s">
        <v>126</v>
      </c>
      <c r="B11" s="1" t="s">
        <v>126</v>
      </c>
      <c r="C11" s="1">
        <f>SUBTOTAL(103,Elements138261[Elemento])</f>
        <v>4</v>
      </c>
      <c r="D11" s="1" t="s">
        <v>126</v>
      </c>
      <c r="E11" s="1">
        <f>SUBTOTAL(109,Elements138261[Totais:])</f>
        <v>4</v>
      </c>
    </row>
  </sheetData>
  <mergeCells count="3">
    <mergeCell ref="A1:E2"/>
    <mergeCell ref="A4:E4"/>
    <mergeCell ref="A5:E5"/>
  </mergeCells>
  <hyperlinks>
    <hyperlink ref="A1" location="'13.8.26'!A1" display="PATCH PANEL 48 PORTAS, CATEGORIA 6 - FORNECIMENTO E INSTALAÇÃO. AF_11/2019" xr:uid="{00000000-0004-0000-3600-000000000000}"/>
    <hyperlink ref="B1" location="'13.8.26'!A1" display="PATCH PANEL 48 PORTAS, CATEGORIA 6 - FORNECIMENTO E INSTALAÇÃO. AF_11/2019" xr:uid="{00000000-0004-0000-3600-000001000000}"/>
    <hyperlink ref="C1" location="'13.8.26'!A1" display="PATCH PANEL 48 PORTAS, CATEGORIA 6 - FORNECIMENTO E INSTALAÇÃO. AF_11/2019" xr:uid="{00000000-0004-0000-3600-000002000000}"/>
    <hyperlink ref="D1" location="'13.8.26'!A1" display="PATCH PANEL 48 PORTAS, CATEGORIA 6 - FORNECIMENTO E INSTALAÇÃO. AF_11/2019" xr:uid="{00000000-0004-0000-3600-000003000000}"/>
    <hyperlink ref="E1" location="'13.8.26'!A1" display="PATCH PANEL 48 PORTAS, CATEGORIA 6 - FORNECIMENTO E INSTALAÇÃO. AF_11/2019" xr:uid="{00000000-0004-0000-3600-000004000000}"/>
    <hyperlink ref="A2" location="'13.8.26'!A1" display="PATCH PANEL 48 PORTAS, CATEGORIA 6 - FORNECIMENTO E INSTALAÇÃO. AF_11/2019" xr:uid="{00000000-0004-0000-3600-000005000000}"/>
    <hyperlink ref="B2" location="'13.8.26'!A1" display="PATCH PANEL 48 PORTAS, CATEGORIA 6 - FORNECIMENTO E INSTALAÇÃO. AF_11/2019" xr:uid="{00000000-0004-0000-3600-000006000000}"/>
    <hyperlink ref="C2" location="'13.8.26'!A1" display="PATCH PANEL 48 PORTAS, CATEGORIA 6 - FORNECIMENTO E INSTALAÇÃO. AF_11/2019" xr:uid="{00000000-0004-0000-3600-000007000000}"/>
    <hyperlink ref="D2" location="'13.8.26'!A1" display="PATCH PANEL 48 PORTAS, CATEGORIA 6 - FORNECIMENTO E INSTALAÇÃO. AF_11/2019" xr:uid="{00000000-0004-0000-3600-000008000000}"/>
    <hyperlink ref="E2" location="'13.8.26'!A1" display="PATCH PANEL 48 PORTAS, CATEGORIA 6 - FORNECIMENTO E INSTALAÇÃO. AF_11/2019" xr:uid="{00000000-0004-0000-3600-000009000000}"/>
    <hyperlink ref="A4" location="'13.8.26'!A1" display="Equipamento elétrico (A)" xr:uid="{00000000-0004-0000-3600-00000A000000}"/>
    <hyperlink ref="B4" location="'13.8.26'!A1" display="Equipamento elétrico (A)" xr:uid="{00000000-0004-0000-3600-00000B000000}"/>
    <hyperlink ref="C4" location="'13.8.26'!A1" display="Equipamento elétrico (A)" xr:uid="{00000000-0004-0000-3600-00000C000000}"/>
    <hyperlink ref="D4" location="'13.8.26'!A1" display="Equipamento elétrico (A)" xr:uid="{00000000-0004-0000-3600-00000D000000}"/>
    <hyperlink ref="E4" location="'13.8.26'!A1" display="Equipamento elétrico (A)" xr:uid="{00000000-0004-0000-36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700-000000000000}">
  <dimension ref="A1:E15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118</v>
      </c>
      <c r="B1" s="23" t="s">
        <v>118</v>
      </c>
      <c r="C1" s="23" t="s">
        <v>118</v>
      </c>
      <c r="D1" s="23" t="s">
        <v>118</v>
      </c>
      <c r="E1" s="23" t="s">
        <v>118</v>
      </c>
    </row>
    <row r="2" spans="1:5">
      <c r="A2" s="23" t="s">
        <v>118</v>
      </c>
      <c r="B2" s="23" t="s">
        <v>118</v>
      </c>
      <c r="C2" s="23" t="s">
        <v>118</v>
      </c>
      <c r="D2" s="23" t="s">
        <v>118</v>
      </c>
      <c r="E2" s="23" t="s">
        <v>118</v>
      </c>
    </row>
    <row r="4" spans="1:5">
      <c r="A4" s="18" t="s">
        <v>163</v>
      </c>
      <c r="B4" s="18" t="s">
        <v>163</v>
      </c>
      <c r="C4" s="18" t="s">
        <v>163</v>
      </c>
      <c r="D4" s="18" t="s">
        <v>163</v>
      </c>
      <c r="E4" s="18" t="s">
        <v>163</v>
      </c>
    </row>
    <row r="5" spans="1:5">
      <c r="A5" s="24" t="s">
        <v>126</v>
      </c>
      <c r="B5" s="24" t="s">
        <v>126</v>
      </c>
      <c r="C5" s="24" t="s">
        <v>126</v>
      </c>
      <c r="D5" s="24" t="s">
        <v>126</v>
      </c>
      <c r="E5" s="24" t="s">
        <v>126</v>
      </c>
    </row>
    <row r="6" spans="1:5">
      <c r="A6" s="10" t="s">
        <v>232</v>
      </c>
      <c r="B6" s="10" t="s">
        <v>233</v>
      </c>
      <c r="C6" s="10" t="s">
        <v>234</v>
      </c>
      <c r="D6" s="10" t="s">
        <v>235</v>
      </c>
      <c r="E6" s="10" t="s">
        <v>236</v>
      </c>
    </row>
    <row r="7" spans="1:5" ht="24.75">
      <c r="A7" s="11" t="s">
        <v>237</v>
      </c>
      <c r="B7" s="11" t="s">
        <v>133</v>
      </c>
      <c r="C7" s="11" t="s">
        <v>231</v>
      </c>
      <c r="D7" s="11" t="s">
        <v>1093</v>
      </c>
      <c r="E7" s="11">
        <v>1</v>
      </c>
    </row>
    <row r="8" spans="1:5" ht="24.75">
      <c r="A8" s="11" t="s">
        <v>237</v>
      </c>
      <c r="B8" s="11" t="s">
        <v>133</v>
      </c>
      <c r="C8" s="11" t="s">
        <v>231</v>
      </c>
      <c r="D8" s="11" t="s">
        <v>1094</v>
      </c>
      <c r="E8" s="11">
        <v>1</v>
      </c>
    </row>
    <row r="9" spans="1:5" ht="24.75">
      <c r="A9" s="11" t="s">
        <v>237</v>
      </c>
      <c r="B9" s="11" t="s">
        <v>133</v>
      </c>
      <c r="C9" s="11" t="s">
        <v>231</v>
      </c>
      <c r="D9" s="11" t="s">
        <v>1095</v>
      </c>
      <c r="E9" s="11">
        <v>1</v>
      </c>
    </row>
    <row r="10" spans="1:5" ht="24.75">
      <c r="A10" s="11" t="s">
        <v>237</v>
      </c>
      <c r="B10" s="11" t="s">
        <v>133</v>
      </c>
      <c r="C10" s="11" t="s">
        <v>231</v>
      </c>
      <c r="D10" s="11" t="s">
        <v>1096</v>
      </c>
      <c r="E10" s="11">
        <v>1</v>
      </c>
    </row>
    <row r="11" spans="1:5" ht="24.75">
      <c r="A11" s="11" t="s">
        <v>237</v>
      </c>
      <c r="B11" s="11" t="s">
        <v>133</v>
      </c>
      <c r="C11" s="11" t="s">
        <v>231</v>
      </c>
      <c r="D11" s="11" t="s">
        <v>1097</v>
      </c>
      <c r="E11" s="11">
        <v>1</v>
      </c>
    </row>
    <row r="12" spans="1:5" ht="24.75">
      <c r="A12" s="11" t="s">
        <v>237</v>
      </c>
      <c r="B12" s="11" t="s">
        <v>133</v>
      </c>
      <c r="C12" s="11" t="s">
        <v>231</v>
      </c>
      <c r="D12" s="11" t="s">
        <v>1098</v>
      </c>
      <c r="E12" s="11">
        <v>1</v>
      </c>
    </row>
    <row r="13" spans="1:5" ht="24.75">
      <c r="A13" s="11" t="s">
        <v>237</v>
      </c>
      <c r="B13" s="11" t="s">
        <v>133</v>
      </c>
      <c r="C13" s="11" t="s">
        <v>231</v>
      </c>
      <c r="D13" s="11" t="s">
        <v>1099</v>
      </c>
      <c r="E13" s="11">
        <v>1</v>
      </c>
    </row>
    <row r="14" spans="1:5" ht="24.75">
      <c r="A14" s="11" t="s">
        <v>237</v>
      </c>
      <c r="B14" s="11" t="s">
        <v>133</v>
      </c>
      <c r="C14" s="11" t="s">
        <v>231</v>
      </c>
      <c r="D14" s="11" t="s">
        <v>1100</v>
      </c>
      <c r="E14" s="11">
        <v>1</v>
      </c>
    </row>
    <row r="15" spans="1:5">
      <c r="A15" s="1" t="s">
        <v>126</v>
      </c>
      <c r="B15" s="1" t="s">
        <v>126</v>
      </c>
      <c r="C15" s="1">
        <f>SUBTOTAL(103,Elements138271[Elemento])</f>
        <v>8</v>
      </c>
      <c r="D15" s="1" t="s">
        <v>126</v>
      </c>
      <c r="E15" s="1">
        <f>SUBTOTAL(109,Elements138271[Totais:])</f>
        <v>8</v>
      </c>
    </row>
  </sheetData>
  <mergeCells count="3">
    <mergeCell ref="A1:E2"/>
    <mergeCell ref="A4:E4"/>
    <mergeCell ref="A5:E5"/>
  </mergeCells>
  <hyperlinks>
    <hyperlink ref="A1" location="'13.8.27'!A1" display="HD INTERNO 6TB, SATA, 5400 RPM, CACHE 64MB, VIGILANCIA - REF. WD PURPLE 6TB SURVEILLANCE WD63PURZ" xr:uid="{00000000-0004-0000-3700-000000000000}"/>
    <hyperlink ref="B1" location="'13.8.27'!A1" display="HD INTERNO 6TB, SATA, 5400 RPM, CACHE 64MB, VIGILANCIA - REF. WD PURPLE 6TB SURVEILLANCE WD63PURZ" xr:uid="{00000000-0004-0000-3700-000001000000}"/>
    <hyperlink ref="C1" location="'13.8.27'!A1" display="HD INTERNO 6TB, SATA, 5400 RPM, CACHE 64MB, VIGILANCIA - REF. WD PURPLE 6TB SURVEILLANCE WD63PURZ" xr:uid="{00000000-0004-0000-3700-000002000000}"/>
    <hyperlink ref="D1" location="'13.8.27'!A1" display="HD INTERNO 6TB, SATA, 5400 RPM, CACHE 64MB, VIGILANCIA - REF. WD PURPLE 6TB SURVEILLANCE WD63PURZ" xr:uid="{00000000-0004-0000-3700-000003000000}"/>
    <hyperlink ref="E1" location="'13.8.27'!A1" display="HD INTERNO 6TB, SATA, 5400 RPM, CACHE 64MB, VIGILANCIA - REF. WD PURPLE 6TB SURVEILLANCE WD63PURZ" xr:uid="{00000000-0004-0000-3700-000004000000}"/>
    <hyperlink ref="A2" location="'13.8.27'!A1" display="HD INTERNO 6TB, SATA, 5400 RPM, CACHE 64MB, VIGILANCIA - REF. WD PURPLE 6TB SURVEILLANCE WD63PURZ" xr:uid="{00000000-0004-0000-3700-000005000000}"/>
    <hyperlink ref="B2" location="'13.8.27'!A1" display="HD INTERNO 6TB, SATA, 5400 RPM, CACHE 64MB, VIGILANCIA - REF. WD PURPLE 6TB SURVEILLANCE WD63PURZ" xr:uid="{00000000-0004-0000-3700-000006000000}"/>
    <hyperlink ref="C2" location="'13.8.27'!A1" display="HD INTERNO 6TB, SATA, 5400 RPM, CACHE 64MB, VIGILANCIA - REF. WD PURPLE 6TB SURVEILLANCE WD63PURZ" xr:uid="{00000000-0004-0000-3700-000007000000}"/>
    <hyperlink ref="D2" location="'13.8.27'!A1" display="HD INTERNO 6TB, SATA, 5400 RPM, CACHE 64MB, VIGILANCIA - REF. WD PURPLE 6TB SURVEILLANCE WD63PURZ" xr:uid="{00000000-0004-0000-3700-000008000000}"/>
    <hyperlink ref="E2" location="'13.8.27'!A1" display="HD INTERNO 6TB, SATA, 5400 RPM, CACHE 64MB, VIGILANCIA - REF. WD PURPLE 6TB SURVEILLANCE WD63PURZ" xr:uid="{00000000-0004-0000-3700-000009000000}"/>
    <hyperlink ref="A4" location="'13.8.27'!A1" display="Equipamento elétrico (A)" xr:uid="{00000000-0004-0000-3700-00000A000000}"/>
    <hyperlink ref="B4" location="'13.8.27'!A1" display="Equipamento elétrico (A)" xr:uid="{00000000-0004-0000-3700-00000B000000}"/>
    <hyperlink ref="C4" location="'13.8.27'!A1" display="Equipamento elétrico (A)" xr:uid="{00000000-0004-0000-3700-00000C000000}"/>
    <hyperlink ref="D4" location="'13.8.27'!A1" display="Equipamento elétrico (A)" xr:uid="{00000000-0004-0000-3700-00000D000000}"/>
    <hyperlink ref="E4" location="'13.8.27'!A1" display="Equipamento elétrico (A)" xr:uid="{00000000-0004-0000-37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DFF0D8"/>
  </sheetPr>
  <dimension ref="A1:I24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 ht="24.75">
      <c r="A2" s="6" t="s">
        <v>26</v>
      </c>
      <c r="B2" s="6" t="s">
        <v>27</v>
      </c>
      <c r="C2" s="6" t="s">
        <v>13</v>
      </c>
      <c r="D2" s="6" t="s">
        <v>28</v>
      </c>
      <c r="E2" s="6" t="s">
        <v>15</v>
      </c>
      <c r="F2" s="6" t="s">
        <v>29</v>
      </c>
      <c r="G2" s="6">
        <v>8.5682460000000003</v>
      </c>
      <c r="H2" s="6">
        <v>10.269042831000002</v>
      </c>
      <c r="I2" s="6">
        <v>1458.9229150001702</v>
      </c>
    </row>
    <row r="5" spans="1:9">
      <c r="A5" s="16" t="s">
        <v>120</v>
      </c>
      <c r="B5" s="16" t="s">
        <v>120</v>
      </c>
      <c r="C5" s="16" t="s">
        <v>120</v>
      </c>
      <c r="D5" s="16" t="s">
        <v>120</v>
      </c>
      <c r="E5" s="16" t="s">
        <v>120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121</v>
      </c>
      <c r="C7" s="10" t="s">
        <v>122</v>
      </c>
      <c r="D7" s="10" t="s">
        <v>123</v>
      </c>
      <c r="E7" s="10" t="s">
        <v>9</v>
      </c>
    </row>
    <row r="8" spans="1:9">
      <c r="A8" s="11">
        <v>1</v>
      </c>
      <c r="B8" s="11" t="s">
        <v>151</v>
      </c>
      <c r="C8" s="11">
        <v>47</v>
      </c>
      <c r="D8" s="11" t="s">
        <v>152</v>
      </c>
      <c r="E8" s="11">
        <v>142.07283181846486</v>
      </c>
    </row>
    <row r="9" spans="1:9">
      <c r="A9" s="11" t="s">
        <v>126</v>
      </c>
      <c r="B9" s="11" t="s">
        <v>126</v>
      </c>
      <c r="C9" s="11">
        <f>SUBTOTAL(109,Criteria_Summary13.8.4[Elementos])</f>
        <v>47</v>
      </c>
      <c r="D9" s="11" t="s">
        <v>126</v>
      </c>
      <c r="E9" s="11">
        <f>SUBTOTAL(109,Criteria_Summary13.8.4[Total])</f>
        <v>142.07283181846486</v>
      </c>
    </row>
    <row r="10" spans="1:9">
      <c r="A10" s="12" t="s">
        <v>127</v>
      </c>
      <c r="B10" s="12">
        <v>0</v>
      </c>
      <c r="C10" s="13"/>
      <c r="D10" s="13"/>
      <c r="E10" s="12">
        <v>142.07</v>
      </c>
    </row>
    <row r="13" spans="1:9">
      <c r="A13" s="18" t="s">
        <v>152</v>
      </c>
      <c r="B13" s="18" t="s">
        <v>152</v>
      </c>
      <c r="C13" s="18" t="s">
        <v>152</v>
      </c>
      <c r="D13" s="18" t="s">
        <v>152</v>
      </c>
      <c r="E13" s="18" t="s">
        <v>152</v>
      </c>
    </row>
    <row r="14" spans="1:9">
      <c r="A14" s="19"/>
      <c r="B14" s="19"/>
      <c r="C14" s="19"/>
      <c r="D14" s="19"/>
      <c r="E14" s="19"/>
    </row>
    <row r="15" spans="1:9">
      <c r="A15" s="14" t="s">
        <v>121</v>
      </c>
      <c r="B15" s="14" t="s">
        <v>122</v>
      </c>
      <c r="C15" s="20" t="s">
        <v>128</v>
      </c>
      <c r="D15" s="20" t="s">
        <v>128</v>
      </c>
      <c r="E15" s="14" t="s">
        <v>9</v>
      </c>
    </row>
    <row r="16" spans="1:9">
      <c r="A16" s="11" t="s">
        <v>151</v>
      </c>
      <c r="B16" s="11">
        <v>47</v>
      </c>
      <c r="C16" s="21" t="s">
        <v>153</v>
      </c>
      <c r="D16" s="21" t="s">
        <v>153</v>
      </c>
      <c r="E16" s="11">
        <v>142.07283181846486</v>
      </c>
    </row>
    <row r="18" spans="1:5">
      <c r="A18" s="22" t="s">
        <v>135</v>
      </c>
      <c r="B18" s="22" t="s">
        <v>135</v>
      </c>
      <c r="C18" s="22" t="s">
        <v>135</v>
      </c>
      <c r="D18" s="22" t="s">
        <v>135</v>
      </c>
      <c r="E18" s="22" t="s">
        <v>135</v>
      </c>
    </row>
    <row r="19" spans="1:5">
      <c r="A19" s="20" t="s">
        <v>136</v>
      </c>
      <c r="B19" s="14"/>
      <c r="C19" s="14"/>
      <c r="D19" s="14" t="s">
        <v>121</v>
      </c>
      <c r="E19" s="14"/>
    </row>
    <row r="20" spans="1:5">
      <c r="A20" s="21" t="s">
        <v>154</v>
      </c>
      <c r="B20" s="21" t="s">
        <v>154</v>
      </c>
      <c r="C20" s="21" t="s">
        <v>154</v>
      </c>
      <c r="D20" s="11" t="s">
        <v>155</v>
      </c>
      <c r="E20" s="11" t="s">
        <v>134</v>
      </c>
    </row>
    <row r="22" spans="1:5">
      <c r="A22" s="22" t="s">
        <v>139</v>
      </c>
      <c r="B22" s="22" t="s">
        <v>139</v>
      </c>
      <c r="C22" s="22" t="s">
        <v>139</v>
      </c>
      <c r="D22" s="22" t="s">
        <v>139</v>
      </c>
      <c r="E22" s="22" t="s">
        <v>139</v>
      </c>
    </row>
    <row r="23" spans="1:5">
      <c r="A23" s="14" t="s">
        <v>121</v>
      </c>
      <c r="B23" s="14" t="s">
        <v>140</v>
      </c>
      <c r="C23" s="14" t="s">
        <v>141</v>
      </c>
      <c r="D23" s="14" t="s">
        <v>142</v>
      </c>
      <c r="E23" s="14"/>
    </row>
    <row r="24" spans="1:5">
      <c r="A24" s="11" t="s">
        <v>143</v>
      </c>
      <c r="B24" s="11" t="s">
        <v>144</v>
      </c>
      <c r="C24" s="11" t="s">
        <v>156</v>
      </c>
      <c r="D24" s="11" t="s">
        <v>146</v>
      </c>
      <c r="E24" s="11" t="s">
        <v>147</v>
      </c>
    </row>
  </sheetData>
  <mergeCells count="10">
    <mergeCell ref="C16:D16"/>
    <mergeCell ref="A18:E18"/>
    <mergeCell ref="A19"/>
    <mergeCell ref="A20:C20"/>
    <mergeCell ref="A22:E22"/>
    <mergeCell ref="A5:E5"/>
    <mergeCell ref="A6:E6"/>
    <mergeCell ref="A13:E13"/>
    <mergeCell ref="A14:E14"/>
    <mergeCell ref="C15:D15"/>
  </mergeCells>
  <hyperlinks>
    <hyperlink ref="A2" location="'13.8'!A1" display="13.8.4" xr:uid="{00000000-0004-0000-0500-000000000000}"/>
    <hyperlink ref="F2" location="'13.8.4E'!A1" display="142,07" xr:uid="{00000000-0004-0000-0500-000001000000}"/>
    <hyperlink ref="E10" location="'13.8.4E'!A1" display="'13.8.4E'!A1" xr:uid="{00000000-0004-0000-05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CF8E3"/>
  </sheetPr>
  <dimension ref="A1:I28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8" t="s">
        <v>30</v>
      </c>
      <c r="B2" s="8" t="s">
        <v>31</v>
      </c>
      <c r="C2" s="8" t="s">
        <v>32</v>
      </c>
      <c r="D2" s="8" t="s">
        <v>33</v>
      </c>
      <c r="E2" s="8" t="s">
        <v>15</v>
      </c>
      <c r="F2" s="8" t="s">
        <v>34</v>
      </c>
      <c r="G2" s="8">
        <v>11.84</v>
      </c>
      <c r="H2" s="8">
        <v>14.190240000000001</v>
      </c>
      <c r="I2" s="8">
        <v>59.173300800000007</v>
      </c>
    </row>
    <row r="5" spans="1:9">
      <c r="A5" s="16" t="s">
        <v>120</v>
      </c>
      <c r="B5" s="16" t="s">
        <v>120</v>
      </c>
      <c r="C5" s="16" t="s">
        <v>120</v>
      </c>
      <c r="D5" s="16" t="s">
        <v>120</v>
      </c>
      <c r="E5" s="16" t="s">
        <v>120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121</v>
      </c>
      <c r="C7" s="10" t="s">
        <v>122</v>
      </c>
      <c r="D7" s="10" t="s">
        <v>123</v>
      </c>
      <c r="E7" s="10" t="s">
        <v>9</v>
      </c>
    </row>
    <row r="8" spans="1:9">
      <c r="A8" s="11">
        <v>1</v>
      </c>
      <c r="B8" s="11" t="s">
        <v>124</v>
      </c>
      <c r="C8" s="11">
        <v>3</v>
      </c>
      <c r="D8" s="11" t="s">
        <v>157</v>
      </c>
      <c r="E8" s="11">
        <v>3.2078061946052308</v>
      </c>
    </row>
    <row r="9" spans="1:9">
      <c r="A9" s="11" t="s">
        <v>126</v>
      </c>
      <c r="B9" s="11" t="s">
        <v>126</v>
      </c>
      <c r="C9" s="11">
        <f>SUBTOTAL(109,Criteria_Summary13.8.5[Elementos])</f>
        <v>3</v>
      </c>
      <c r="D9" s="11" t="s">
        <v>126</v>
      </c>
      <c r="E9" s="11">
        <f>SUBTOTAL(109,Criteria_Summary13.8.5[Total])</f>
        <v>3.2078061946052308</v>
      </c>
    </row>
    <row r="10" spans="1:9" ht="30">
      <c r="A10" s="12" t="s">
        <v>158</v>
      </c>
      <c r="B10" s="12">
        <v>1.3</v>
      </c>
      <c r="C10" s="13"/>
      <c r="D10" s="13"/>
      <c r="E10" s="12">
        <v>4.17</v>
      </c>
    </row>
    <row r="13" spans="1:9">
      <c r="A13" s="18" t="s">
        <v>157</v>
      </c>
      <c r="B13" s="18" t="s">
        <v>157</v>
      </c>
      <c r="C13" s="18" t="s">
        <v>157</v>
      </c>
      <c r="D13" s="18" t="s">
        <v>157</v>
      </c>
      <c r="E13" s="18" t="s">
        <v>157</v>
      </c>
    </row>
    <row r="14" spans="1:9">
      <c r="A14" s="19"/>
      <c r="B14" s="19"/>
      <c r="C14" s="19"/>
      <c r="D14" s="19"/>
      <c r="E14" s="19"/>
    </row>
    <row r="15" spans="1:9">
      <c r="A15" s="14" t="s">
        <v>121</v>
      </c>
      <c r="B15" s="14" t="s">
        <v>122</v>
      </c>
      <c r="C15" s="20" t="s">
        <v>128</v>
      </c>
      <c r="D15" s="20" t="s">
        <v>128</v>
      </c>
      <c r="E15" s="14" t="s">
        <v>9</v>
      </c>
    </row>
    <row r="16" spans="1:9">
      <c r="A16" s="11" t="s">
        <v>124</v>
      </c>
      <c r="B16" s="11">
        <v>3</v>
      </c>
      <c r="C16" s="21" t="s">
        <v>129</v>
      </c>
      <c r="D16" s="21" t="s">
        <v>129</v>
      </c>
      <c r="E16" s="11">
        <v>3.2078061946052308</v>
      </c>
    </row>
    <row r="18" spans="1:5">
      <c r="A18" s="22" t="s">
        <v>130</v>
      </c>
      <c r="B18" s="22" t="s">
        <v>130</v>
      </c>
      <c r="C18" s="22" t="s">
        <v>130</v>
      </c>
      <c r="D18" s="22" t="s">
        <v>130</v>
      </c>
      <c r="E18" s="22" t="s">
        <v>130</v>
      </c>
    </row>
    <row r="19" spans="1:5">
      <c r="A19" s="20" t="s">
        <v>131</v>
      </c>
      <c r="B19" s="20" t="s">
        <v>131</v>
      </c>
      <c r="C19" s="20" t="s">
        <v>131</v>
      </c>
      <c r="D19" s="14" t="s">
        <v>132</v>
      </c>
      <c r="E19" s="14"/>
    </row>
    <row r="20" spans="1:5">
      <c r="A20" s="11"/>
      <c r="B20" s="11"/>
      <c r="C20" s="11"/>
      <c r="D20" s="11" t="s">
        <v>133</v>
      </c>
      <c r="E20" s="11" t="s">
        <v>134</v>
      </c>
    </row>
    <row r="22" spans="1:5">
      <c r="A22" s="22" t="s">
        <v>135</v>
      </c>
      <c r="B22" s="22" t="s">
        <v>135</v>
      </c>
      <c r="C22" s="22" t="s">
        <v>135</v>
      </c>
      <c r="D22" s="22" t="s">
        <v>135</v>
      </c>
      <c r="E22" s="22" t="s">
        <v>135</v>
      </c>
    </row>
    <row r="23" spans="1:5">
      <c r="A23" s="20" t="s">
        <v>136</v>
      </c>
      <c r="B23" s="14"/>
      <c r="C23" s="14"/>
      <c r="D23" s="14" t="s">
        <v>121</v>
      </c>
      <c r="E23" s="14"/>
    </row>
    <row r="24" spans="1:5">
      <c r="A24" s="21" t="s">
        <v>159</v>
      </c>
      <c r="B24" s="21" t="s">
        <v>159</v>
      </c>
      <c r="C24" s="21" t="s">
        <v>159</v>
      </c>
      <c r="D24" s="11" t="s">
        <v>160</v>
      </c>
      <c r="E24" s="11" t="s">
        <v>134</v>
      </c>
    </row>
    <row r="26" spans="1:5">
      <c r="A26" s="22" t="s">
        <v>139</v>
      </c>
      <c r="B26" s="22" t="s">
        <v>139</v>
      </c>
      <c r="C26" s="22" t="s">
        <v>139</v>
      </c>
      <c r="D26" s="22" t="s">
        <v>139</v>
      </c>
      <c r="E26" s="22" t="s">
        <v>139</v>
      </c>
    </row>
    <row r="27" spans="1:5">
      <c r="A27" s="14" t="s">
        <v>121</v>
      </c>
      <c r="B27" s="14" t="s">
        <v>140</v>
      </c>
      <c r="C27" s="14" t="s">
        <v>141</v>
      </c>
      <c r="D27" s="14" t="s">
        <v>142</v>
      </c>
      <c r="E27" s="14"/>
    </row>
    <row r="28" spans="1:5">
      <c r="A28" s="11" t="s">
        <v>143</v>
      </c>
      <c r="B28" s="11" t="s">
        <v>144</v>
      </c>
      <c r="C28" s="11" t="s">
        <v>156</v>
      </c>
      <c r="D28" s="11" t="s">
        <v>146</v>
      </c>
      <c r="E28" s="11" t="s">
        <v>147</v>
      </c>
    </row>
  </sheetData>
  <mergeCells count="12">
    <mergeCell ref="A24:C24"/>
    <mergeCell ref="A26:E26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8'!A1" display="13.8.5" xr:uid="{00000000-0004-0000-0600-000000000000}"/>
    <hyperlink ref="F2" location="'13.8.5E'!A1" display="4,17" xr:uid="{00000000-0004-0000-0600-000001000000}"/>
    <hyperlink ref="E10" location="'13.8.5E'!A1" display="'13.8.5E'!A1" xr:uid="{00000000-0004-0000-06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CF8E3"/>
  </sheetPr>
  <dimension ref="A1:I28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8" t="s">
        <v>35</v>
      </c>
      <c r="B2" s="8" t="s">
        <v>36</v>
      </c>
      <c r="C2" s="8" t="s">
        <v>32</v>
      </c>
      <c r="D2" s="8" t="s">
        <v>37</v>
      </c>
      <c r="E2" s="8" t="s">
        <v>15</v>
      </c>
      <c r="F2" s="8" t="s">
        <v>38</v>
      </c>
      <c r="G2" s="8">
        <v>15.52</v>
      </c>
      <c r="H2" s="8">
        <v>18.600720000000003</v>
      </c>
      <c r="I2" s="8">
        <v>331.27882320000003</v>
      </c>
    </row>
    <row r="5" spans="1:9">
      <c r="A5" s="16" t="s">
        <v>120</v>
      </c>
      <c r="B5" s="16" t="s">
        <v>120</v>
      </c>
      <c r="C5" s="16" t="s">
        <v>120</v>
      </c>
      <c r="D5" s="16" t="s">
        <v>120</v>
      </c>
      <c r="E5" s="16" t="s">
        <v>120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121</v>
      </c>
      <c r="C7" s="10" t="s">
        <v>122</v>
      </c>
      <c r="D7" s="10" t="s">
        <v>123</v>
      </c>
      <c r="E7" s="10" t="s">
        <v>9</v>
      </c>
    </row>
    <row r="8" spans="1:9">
      <c r="A8" s="11">
        <v>1</v>
      </c>
      <c r="B8" s="11" t="s">
        <v>124</v>
      </c>
      <c r="C8" s="11">
        <v>41</v>
      </c>
      <c r="D8" s="11" t="s">
        <v>157</v>
      </c>
      <c r="E8" s="11">
        <v>13.702100097734311</v>
      </c>
    </row>
    <row r="9" spans="1:9">
      <c r="A9" s="11" t="s">
        <v>126</v>
      </c>
      <c r="B9" s="11" t="s">
        <v>126</v>
      </c>
      <c r="C9" s="11">
        <f>SUBTOTAL(109,Criteria_Summary13.8.6[Elementos])</f>
        <v>41</v>
      </c>
      <c r="D9" s="11" t="s">
        <v>126</v>
      </c>
      <c r="E9" s="11">
        <f>SUBTOTAL(109,Criteria_Summary13.8.6[Total])</f>
        <v>13.702100097734311</v>
      </c>
    </row>
    <row r="10" spans="1:9" ht="30">
      <c r="A10" s="12" t="s">
        <v>158</v>
      </c>
      <c r="B10" s="12">
        <v>1.3</v>
      </c>
      <c r="C10" s="13"/>
      <c r="D10" s="13"/>
      <c r="E10" s="12">
        <v>17.809999999999999</v>
      </c>
    </row>
    <row r="13" spans="1:9">
      <c r="A13" s="18" t="s">
        <v>157</v>
      </c>
      <c r="B13" s="18" t="s">
        <v>157</v>
      </c>
      <c r="C13" s="18" t="s">
        <v>157</v>
      </c>
      <c r="D13" s="18" t="s">
        <v>157</v>
      </c>
      <c r="E13" s="18" t="s">
        <v>157</v>
      </c>
    </row>
    <row r="14" spans="1:9">
      <c r="A14" s="19"/>
      <c r="B14" s="19"/>
      <c r="C14" s="19"/>
      <c r="D14" s="19"/>
      <c r="E14" s="19"/>
    </row>
    <row r="15" spans="1:9">
      <c r="A15" s="14" t="s">
        <v>121</v>
      </c>
      <c r="B15" s="14" t="s">
        <v>122</v>
      </c>
      <c r="C15" s="20" t="s">
        <v>128</v>
      </c>
      <c r="D15" s="20" t="s">
        <v>128</v>
      </c>
      <c r="E15" s="14" t="s">
        <v>9</v>
      </c>
    </row>
    <row r="16" spans="1:9">
      <c r="A16" s="11" t="s">
        <v>124</v>
      </c>
      <c r="B16" s="11">
        <v>41</v>
      </c>
      <c r="C16" s="21" t="s">
        <v>129</v>
      </c>
      <c r="D16" s="21" t="s">
        <v>129</v>
      </c>
      <c r="E16" s="11">
        <v>13.702100097734311</v>
      </c>
    </row>
    <row r="18" spans="1:5">
      <c r="A18" s="22" t="s">
        <v>130</v>
      </c>
      <c r="B18" s="22" t="s">
        <v>130</v>
      </c>
      <c r="C18" s="22" t="s">
        <v>130</v>
      </c>
      <c r="D18" s="22" t="s">
        <v>130</v>
      </c>
      <c r="E18" s="22" t="s">
        <v>130</v>
      </c>
    </row>
    <row r="19" spans="1:5">
      <c r="A19" s="20" t="s">
        <v>131</v>
      </c>
      <c r="B19" s="20" t="s">
        <v>131</v>
      </c>
      <c r="C19" s="20" t="s">
        <v>131</v>
      </c>
      <c r="D19" s="14" t="s">
        <v>132</v>
      </c>
      <c r="E19" s="14"/>
    </row>
    <row r="20" spans="1:5">
      <c r="A20" s="11"/>
      <c r="B20" s="11"/>
      <c r="C20" s="11"/>
      <c r="D20" s="11" t="s">
        <v>133</v>
      </c>
      <c r="E20" s="11" t="s">
        <v>134</v>
      </c>
    </row>
    <row r="22" spans="1:5">
      <c r="A22" s="22" t="s">
        <v>135</v>
      </c>
      <c r="B22" s="22" t="s">
        <v>135</v>
      </c>
      <c r="C22" s="22" t="s">
        <v>135</v>
      </c>
      <c r="D22" s="22" t="s">
        <v>135</v>
      </c>
      <c r="E22" s="22" t="s">
        <v>135</v>
      </c>
    </row>
    <row r="23" spans="1:5">
      <c r="A23" s="20" t="s">
        <v>136</v>
      </c>
      <c r="B23" s="14"/>
      <c r="C23" s="14"/>
      <c r="D23" s="14" t="s">
        <v>121</v>
      </c>
      <c r="E23" s="14"/>
    </row>
    <row r="24" spans="1:5">
      <c r="A24" s="21" t="s">
        <v>159</v>
      </c>
      <c r="B24" s="21" t="s">
        <v>159</v>
      </c>
      <c r="C24" s="21" t="s">
        <v>159</v>
      </c>
      <c r="D24" s="11" t="s">
        <v>160</v>
      </c>
      <c r="E24" s="11" t="s">
        <v>134</v>
      </c>
    </row>
    <row r="26" spans="1:5">
      <c r="A26" s="22" t="s">
        <v>139</v>
      </c>
      <c r="B26" s="22" t="s">
        <v>139</v>
      </c>
      <c r="C26" s="22" t="s">
        <v>139</v>
      </c>
      <c r="D26" s="22" t="s">
        <v>139</v>
      </c>
      <c r="E26" s="22" t="s">
        <v>139</v>
      </c>
    </row>
    <row r="27" spans="1:5">
      <c r="A27" s="14" t="s">
        <v>121</v>
      </c>
      <c r="B27" s="14" t="s">
        <v>140</v>
      </c>
      <c r="C27" s="14" t="s">
        <v>141</v>
      </c>
      <c r="D27" s="14" t="s">
        <v>142</v>
      </c>
      <c r="E27" s="14"/>
    </row>
    <row r="28" spans="1:5">
      <c r="A28" s="11" t="s">
        <v>143</v>
      </c>
      <c r="B28" s="11" t="s">
        <v>144</v>
      </c>
      <c r="C28" s="11" t="s">
        <v>161</v>
      </c>
      <c r="D28" s="11" t="s">
        <v>146</v>
      </c>
      <c r="E28" s="11" t="s">
        <v>147</v>
      </c>
    </row>
  </sheetData>
  <mergeCells count="12">
    <mergeCell ref="A24:C24"/>
    <mergeCell ref="A26:E26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8'!A1" display="13.8.6" xr:uid="{00000000-0004-0000-0700-000000000000}"/>
    <hyperlink ref="F2" location="'13.8.6E'!A1" display="17,81" xr:uid="{00000000-0004-0000-0700-000001000000}"/>
    <hyperlink ref="E10" location="'13.8.6E'!A1" display="'13.8.6E'!A1" xr:uid="{00000000-0004-0000-07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CF8E3"/>
  </sheetPr>
  <dimension ref="A1:I24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8" t="s">
        <v>39</v>
      </c>
      <c r="B2" s="8" t="s">
        <v>40</v>
      </c>
      <c r="C2" s="8" t="s">
        <v>23</v>
      </c>
      <c r="D2" s="8" t="s">
        <v>41</v>
      </c>
      <c r="E2" s="8" t="s">
        <v>42</v>
      </c>
      <c r="F2" s="8" t="s">
        <v>162</v>
      </c>
      <c r="G2" s="8">
        <v>53.09</v>
      </c>
      <c r="H2" s="8">
        <v>63.628365000000009</v>
      </c>
      <c r="I2" s="8">
        <v>63.628365000000009</v>
      </c>
    </row>
    <row r="5" spans="1:9">
      <c r="A5" s="16" t="s">
        <v>120</v>
      </c>
      <c r="B5" s="16" t="s">
        <v>120</v>
      </c>
      <c r="C5" s="16" t="s">
        <v>120</v>
      </c>
      <c r="D5" s="16" t="s">
        <v>120</v>
      </c>
      <c r="E5" s="16" t="s">
        <v>120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121</v>
      </c>
      <c r="C7" s="10" t="s">
        <v>122</v>
      </c>
      <c r="D7" s="10" t="s">
        <v>123</v>
      </c>
      <c r="E7" s="10" t="s">
        <v>9</v>
      </c>
    </row>
    <row r="8" spans="1:9">
      <c r="A8" s="11">
        <v>1</v>
      </c>
      <c r="B8" s="11" t="s">
        <v>124</v>
      </c>
      <c r="C8" s="11">
        <v>1</v>
      </c>
      <c r="D8" s="11" t="s">
        <v>163</v>
      </c>
      <c r="E8" s="11">
        <v>1</v>
      </c>
    </row>
    <row r="9" spans="1:9">
      <c r="A9" s="11" t="s">
        <v>126</v>
      </c>
      <c r="B9" s="11" t="s">
        <v>126</v>
      </c>
      <c r="C9" s="11">
        <f>SUBTOTAL(109,Criteria_Summary13.8.7[Elementos])</f>
        <v>1</v>
      </c>
      <c r="D9" s="11" t="s">
        <v>126</v>
      </c>
      <c r="E9" s="11">
        <f>SUBTOTAL(109,Criteria_Summary13.8.7[Total])</f>
        <v>1</v>
      </c>
    </row>
    <row r="10" spans="1:9">
      <c r="A10" s="12" t="s">
        <v>127</v>
      </c>
      <c r="B10" s="12">
        <v>0</v>
      </c>
      <c r="C10" s="13"/>
      <c r="D10" s="13"/>
      <c r="E10" s="12">
        <v>1</v>
      </c>
    </row>
    <row r="13" spans="1:9">
      <c r="A13" s="18" t="s">
        <v>163</v>
      </c>
      <c r="B13" s="18" t="s">
        <v>163</v>
      </c>
      <c r="C13" s="18" t="s">
        <v>163</v>
      </c>
      <c r="D13" s="18" t="s">
        <v>163</v>
      </c>
      <c r="E13" s="18" t="s">
        <v>163</v>
      </c>
    </row>
    <row r="14" spans="1:9">
      <c r="A14" s="19"/>
      <c r="B14" s="19"/>
      <c r="C14" s="19"/>
      <c r="D14" s="19"/>
      <c r="E14" s="19"/>
    </row>
    <row r="15" spans="1:9">
      <c r="A15" s="14" t="s">
        <v>121</v>
      </c>
      <c r="B15" s="14" t="s">
        <v>122</v>
      </c>
      <c r="C15" s="20" t="s">
        <v>128</v>
      </c>
      <c r="D15" s="20" t="s">
        <v>128</v>
      </c>
      <c r="E15" s="14" t="s">
        <v>9</v>
      </c>
    </row>
    <row r="16" spans="1:9">
      <c r="A16" s="11" t="s">
        <v>124</v>
      </c>
      <c r="B16" s="11">
        <v>1</v>
      </c>
      <c r="C16" s="21" t="s">
        <v>164</v>
      </c>
      <c r="D16" s="21" t="s">
        <v>164</v>
      </c>
      <c r="E16" s="11">
        <v>1</v>
      </c>
    </row>
    <row r="18" spans="1:5">
      <c r="A18" s="22" t="s">
        <v>130</v>
      </c>
      <c r="B18" s="22" t="s">
        <v>130</v>
      </c>
      <c r="C18" s="22" t="s">
        <v>130</v>
      </c>
      <c r="D18" s="22" t="s">
        <v>130</v>
      </c>
      <c r="E18" s="22" t="s">
        <v>130</v>
      </c>
    </row>
    <row r="19" spans="1:5">
      <c r="A19" s="20" t="s">
        <v>131</v>
      </c>
      <c r="B19" s="20" t="s">
        <v>131</v>
      </c>
      <c r="C19" s="20" t="s">
        <v>131</v>
      </c>
      <c r="D19" s="14" t="s">
        <v>132</v>
      </c>
      <c r="E19" s="14"/>
    </row>
    <row r="20" spans="1:5">
      <c r="A20" s="11"/>
      <c r="B20" s="11"/>
      <c r="C20" s="11"/>
      <c r="D20" s="11" t="s">
        <v>133</v>
      </c>
      <c r="E20" s="11" t="s">
        <v>134</v>
      </c>
    </row>
    <row r="22" spans="1:5">
      <c r="A22" s="22" t="s">
        <v>135</v>
      </c>
      <c r="B22" s="22" t="s">
        <v>135</v>
      </c>
      <c r="C22" s="22" t="s">
        <v>135</v>
      </c>
      <c r="D22" s="22" t="s">
        <v>135</v>
      </c>
      <c r="E22" s="22" t="s">
        <v>135</v>
      </c>
    </row>
    <row r="23" spans="1:5">
      <c r="A23" s="20" t="s">
        <v>136</v>
      </c>
      <c r="B23" s="14"/>
      <c r="C23" s="14"/>
      <c r="D23" s="14" t="s">
        <v>121</v>
      </c>
      <c r="E23" s="14"/>
    </row>
    <row r="24" spans="1:5">
      <c r="A24" s="21" t="s">
        <v>165</v>
      </c>
      <c r="B24" s="21" t="s">
        <v>165</v>
      </c>
      <c r="C24" s="21" t="s">
        <v>165</v>
      </c>
      <c r="D24" s="11" t="s">
        <v>166</v>
      </c>
      <c r="E24" s="11" t="s">
        <v>134</v>
      </c>
    </row>
  </sheetData>
  <mergeCells count="11">
    <mergeCell ref="A24:C24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8'!A1" display="13.8.7" xr:uid="{00000000-0004-0000-0800-000000000000}"/>
    <hyperlink ref="F2" location="'13.8.7E'!A1" display="1" xr:uid="{00000000-0004-0000-0800-000001000000}"/>
    <hyperlink ref="E10" location="'13.8.7E'!A1" display="'13.8.7E'!A1" xr:uid="{00000000-0004-0000-08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56</vt:i4>
      </vt:variant>
    </vt:vector>
  </HeadingPairs>
  <TitlesOfParts>
    <vt:vector size="56" baseType="lpstr">
      <vt:lpstr>Orçamento</vt:lpstr>
      <vt:lpstr>13.8</vt:lpstr>
      <vt:lpstr>13.8.1</vt:lpstr>
      <vt:lpstr>13.8.2</vt:lpstr>
      <vt:lpstr>13.8.3</vt:lpstr>
      <vt:lpstr>13.8.4</vt:lpstr>
      <vt:lpstr>13.8.5</vt:lpstr>
      <vt:lpstr>13.8.6</vt:lpstr>
      <vt:lpstr>13.8.7</vt:lpstr>
      <vt:lpstr>13.8.8</vt:lpstr>
      <vt:lpstr>13.8.9</vt:lpstr>
      <vt:lpstr>13.8.10</vt:lpstr>
      <vt:lpstr>13.8.11</vt:lpstr>
      <vt:lpstr>13.8.12</vt:lpstr>
      <vt:lpstr>13.8.13</vt:lpstr>
      <vt:lpstr>13.8.14</vt:lpstr>
      <vt:lpstr>13.8.15</vt:lpstr>
      <vt:lpstr>13.8.16</vt:lpstr>
      <vt:lpstr>13.8.17</vt:lpstr>
      <vt:lpstr>13.8.18</vt:lpstr>
      <vt:lpstr>13.8.19</vt:lpstr>
      <vt:lpstr>13.8.20</vt:lpstr>
      <vt:lpstr>13.8.21</vt:lpstr>
      <vt:lpstr>13.8.22</vt:lpstr>
      <vt:lpstr>13.8.23</vt:lpstr>
      <vt:lpstr>13.8.24</vt:lpstr>
      <vt:lpstr>13.8.25</vt:lpstr>
      <vt:lpstr>13.8.26</vt:lpstr>
      <vt:lpstr>13.8.27</vt:lpstr>
      <vt:lpstr>13.8.1E</vt:lpstr>
      <vt:lpstr>13.8.2E</vt:lpstr>
      <vt:lpstr>13.8.3E</vt:lpstr>
      <vt:lpstr>13.8.4E</vt:lpstr>
      <vt:lpstr>13.8.5E</vt:lpstr>
      <vt:lpstr>13.8.6E</vt:lpstr>
      <vt:lpstr>13.8.7E</vt:lpstr>
      <vt:lpstr>13.8.8E</vt:lpstr>
      <vt:lpstr>13.8.9E</vt:lpstr>
      <vt:lpstr>13.8.10E</vt:lpstr>
      <vt:lpstr>13.8.11E</vt:lpstr>
      <vt:lpstr>13.8.12E</vt:lpstr>
      <vt:lpstr>13.8.13E</vt:lpstr>
      <vt:lpstr>13.8.14E</vt:lpstr>
      <vt:lpstr>13.8.15E</vt:lpstr>
      <vt:lpstr>13.8.16E</vt:lpstr>
      <vt:lpstr>13.8.17E</vt:lpstr>
      <vt:lpstr>13.8.18E</vt:lpstr>
      <vt:lpstr>13.8.19E</vt:lpstr>
      <vt:lpstr>13.8.20E</vt:lpstr>
      <vt:lpstr>13.8.21E</vt:lpstr>
      <vt:lpstr>13.8.22E</vt:lpstr>
      <vt:lpstr>13.8.23E</vt:lpstr>
      <vt:lpstr>13.8.24E</vt:lpstr>
      <vt:lpstr>13.8.25E</vt:lpstr>
      <vt:lpstr>13.8.26E</vt:lpstr>
      <vt:lpstr>13.8.27E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claudio castro</cp:lastModifiedBy>
  <dcterms:modified xsi:type="dcterms:W3CDTF">2025-05-21T17:11:09Z</dcterms:modified>
</cp:coreProperties>
</file>